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Retention and Graduation/"/>
    </mc:Choice>
  </mc:AlternateContent>
  <xr:revisionPtr revIDLastSave="1" documentId="8_{63A0E253-B5C2-430F-B225-2B646C3DE931}" xr6:coauthVersionLast="47" xr6:coauthVersionMax="47" xr10:uidLastSave="{E759F857-A9C1-427C-88E9-63B43D65B93E}"/>
  <bookViews>
    <workbookView xWindow="-96" yWindow="-96" windowWidth="23232" windowHeight="13992" xr2:uid="{00000000-000D-0000-FFFF-FFFF00000000}"/>
  </bookViews>
  <sheets>
    <sheet name="TABLE 36" sheetId="1" r:id="rId1"/>
  </sheets>
  <definedNames>
    <definedName name="_AY91">#REF!</definedName>
    <definedName name="_xlnm.Print_Area" localSheetId="0">'TABLE 36'!$A$1:$AB$98</definedName>
    <definedName name="_xlnm.Print_Titles" localSheetId="0">'TABLE 36'!$1:$3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6" i="1" l="1"/>
  <c r="AB91" i="1"/>
  <c r="AB82" i="1"/>
  <c r="AB60" i="1"/>
  <c r="AB64" i="1" s="1"/>
  <c r="AB63" i="1"/>
  <c r="AB55" i="1"/>
  <c r="AB86" i="1"/>
  <c r="AB42" i="1"/>
  <c r="AA96" i="1"/>
  <c r="AA91" i="1"/>
  <c r="AA86" i="1"/>
  <c r="AA82" i="1"/>
  <c r="AA63" i="1"/>
  <c r="AA60" i="1"/>
  <c r="AA64" i="1" s="1"/>
  <c r="AA55" i="1"/>
  <c r="AA42" i="1"/>
  <c r="Z75" i="1"/>
  <c r="Z14" i="1"/>
  <c r="Z42" i="1" s="1"/>
  <c r="AB97" i="1" l="1"/>
  <c r="AA97" i="1"/>
  <c r="Z91" i="1"/>
  <c r="Z86" i="1"/>
  <c r="Z60" i="1"/>
  <c r="Z64" i="1" s="1"/>
  <c r="Z96" i="1"/>
  <c r="Z82" i="1"/>
  <c r="Z63" i="1"/>
  <c r="Z55" i="1"/>
  <c r="Y13" i="1"/>
  <c r="Y42" i="1" s="1"/>
  <c r="Y96" i="1"/>
  <c r="Y86" i="1"/>
  <c r="Y91" i="1"/>
  <c r="Y75" i="1"/>
  <c r="Y82" i="1" s="1"/>
  <c r="Y63" i="1"/>
  <c r="Y60" i="1"/>
  <c r="Y64" i="1" s="1"/>
  <c r="Y55" i="1"/>
  <c r="N86" i="1"/>
  <c r="O86" i="1"/>
  <c r="P86" i="1"/>
  <c r="Q86" i="1"/>
  <c r="R86" i="1"/>
  <c r="S86" i="1"/>
  <c r="T86" i="1"/>
  <c r="U86" i="1"/>
  <c r="V86" i="1"/>
  <c r="W86" i="1"/>
  <c r="X86" i="1"/>
  <c r="X13" i="1"/>
  <c r="X42" i="1" s="1"/>
  <c r="X75" i="1"/>
  <c r="X82" i="1" s="1"/>
  <c r="X96" i="1"/>
  <c r="X91" i="1"/>
  <c r="X63" i="1"/>
  <c r="X60" i="1"/>
  <c r="X64" i="1" s="1"/>
  <c r="X55" i="1"/>
  <c r="W13" i="1"/>
  <c r="W42" i="1" s="1"/>
  <c r="W96" i="1"/>
  <c r="W75" i="1"/>
  <c r="W82" i="1" s="1"/>
  <c r="W91" i="1"/>
  <c r="W63" i="1"/>
  <c r="W60" i="1"/>
  <c r="W64" i="1" s="1"/>
  <c r="W55" i="1"/>
  <c r="V62" i="1"/>
  <c r="V63" i="1" s="1"/>
  <c r="V55" i="1"/>
  <c r="V96" i="1"/>
  <c r="V42" i="1"/>
  <c r="V91" i="1"/>
  <c r="P96" i="1"/>
  <c r="R96" i="1"/>
  <c r="S96" i="1"/>
  <c r="T96" i="1"/>
  <c r="U96" i="1"/>
  <c r="V75" i="1"/>
  <c r="V82" i="1" s="1"/>
  <c r="V60" i="1"/>
  <c r="U55" i="1"/>
  <c r="T55" i="1"/>
  <c r="L91" i="1"/>
  <c r="L63" i="1"/>
  <c r="M63" i="1"/>
  <c r="N63" i="1"/>
  <c r="U91" i="1"/>
  <c r="T91" i="1"/>
  <c r="U82" i="1"/>
  <c r="U63" i="1"/>
  <c r="U60" i="1"/>
  <c r="U64" i="1" s="1"/>
  <c r="U42" i="1"/>
  <c r="T13" i="1"/>
  <c r="T42" i="1" s="1"/>
  <c r="T82" i="1"/>
  <c r="T63" i="1"/>
  <c r="T60" i="1"/>
  <c r="T64" i="1" s="1"/>
  <c r="P17" i="1"/>
  <c r="P35" i="1"/>
  <c r="O63" i="1"/>
  <c r="P63" i="1"/>
  <c r="Q63" i="1"/>
  <c r="R63" i="1"/>
  <c r="S63" i="1"/>
  <c r="S55" i="1"/>
  <c r="S82" i="1"/>
  <c r="S10" i="1"/>
  <c r="S42" i="1" s="1"/>
  <c r="S91" i="1"/>
  <c r="S60" i="1"/>
  <c r="S64" i="1" s="1"/>
  <c r="R60" i="1"/>
  <c r="R64" i="1" s="1"/>
  <c r="R38" i="1"/>
  <c r="M5" i="1"/>
  <c r="M6" i="1"/>
  <c r="M9" i="1"/>
  <c r="M7" i="1"/>
  <c r="M11" i="1"/>
  <c r="M12" i="1"/>
  <c r="M17" i="1"/>
  <c r="M18" i="1"/>
  <c r="M19" i="1"/>
  <c r="M20" i="1"/>
  <c r="M23" i="1"/>
  <c r="M31" i="1"/>
  <c r="M32" i="1"/>
  <c r="M34" i="1"/>
  <c r="M35" i="1"/>
  <c r="M36" i="1"/>
  <c r="M38" i="1"/>
  <c r="M30" i="1"/>
  <c r="M40" i="1"/>
  <c r="M41" i="1"/>
  <c r="M91" i="1"/>
  <c r="M48" i="1"/>
  <c r="M94" i="1"/>
  <c r="M96" i="1" s="1"/>
  <c r="M52" i="1"/>
  <c r="M60" i="1"/>
  <c r="M64" i="1" s="1"/>
  <c r="M82" i="1"/>
  <c r="N5" i="1"/>
  <c r="N6" i="1"/>
  <c r="N9" i="1"/>
  <c r="N7" i="1"/>
  <c r="N12" i="1"/>
  <c r="N17" i="1"/>
  <c r="N18" i="1"/>
  <c r="N19" i="1"/>
  <c r="N20" i="1"/>
  <c r="N23" i="1"/>
  <c r="N32" i="1"/>
  <c r="N34" i="1"/>
  <c r="N35" i="1"/>
  <c r="N36" i="1"/>
  <c r="N38" i="1"/>
  <c r="N30" i="1"/>
  <c r="N40" i="1"/>
  <c r="N41" i="1"/>
  <c r="N91" i="1"/>
  <c r="N48" i="1"/>
  <c r="N94" i="1"/>
  <c r="N96" i="1" s="1"/>
  <c r="N52" i="1"/>
  <c r="N60" i="1"/>
  <c r="N64" i="1" s="1"/>
  <c r="N82" i="1"/>
  <c r="N28" i="1"/>
  <c r="O5" i="1"/>
  <c r="O9" i="1"/>
  <c r="O7" i="1"/>
  <c r="O17" i="1"/>
  <c r="O18" i="1"/>
  <c r="O19" i="1"/>
  <c r="O20" i="1"/>
  <c r="O21" i="1"/>
  <c r="O23" i="1"/>
  <c r="O30" i="1"/>
  <c r="O32" i="1"/>
  <c r="O34" i="1"/>
  <c r="O35" i="1"/>
  <c r="O36" i="1"/>
  <c r="O38" i="1"/>
  <c r="O40" i="1"/>
  <c r="O41" i="1"/>
  <c r="O48" i="1"/>
  <c r="O94" i="1"/>
  <c r="O96" i="1" s="1"/>
  <c r="O52" i="1"/>
  <c r="O53" i="1"/>
  <c r="O60" i="1"/>
  <c r="O64" i="1" s="1"/>
  <c r="O82" i="1"/>
  <c r="O29" i="1"/>
  <c r="O91" i="1"/>
  <c r="P55" i="1"/>
  <c r="P91" i="1"/>
  <c r="P60" i="1"/>
  <c r="P64" i="1" s="1"/>
  <c r="P82" i="1"/>
  <c r="Q5" i="1"/>
  <c r="Q9" i="1"/>
  <c r="Q7" i="1"/>
  <c r="Q10" i="1"/>
  <c r="Q11" i="1"/>
  <c r="Q12" i="1"/>
  <c r="Q17" i="1"/>
  <c r="Q18" i="1"/>
  <c r="Q19" i="1"/>
  <c r="Q21" i="1"/>
  <c r="Q30" i="1"/>
  <c r="Q32" i="1"/>
  <c r="Q34" i="1"/>
  <c r="Q35" i="1"/>
  <c r="Q36" i="1"/>
  <c r="Q38" i="1"/>
  <c r="Q40" i="1"/>
  <c r="Q41" i="1"/>
  <c r="Q91" i="1"/>
  <c r="Q48" i="1"/>
  <c r="Q94" i="1"/>
  <c r="Q96" i="1" s="1"/>
  <c r="Q52" i="1"/>
  <c r="Q51" i="1"/>
  <c r="Q60" i="1"/>
  <c r="Q64" i="1" s="1"/>
  <c r="Q82" i="1"/>
  <c r="R23" i="1"/>
  <c r="R30" i="1"/>
  <c r="R18" i="1"/>
  <c r="R7" i="1"/>
  <c r="R82" i="1"/>
  <c r="R52" i="1"/>
  <c r="R45" i="1"/>
  <c r="R41" i="1"/>
  <c r="R34" i="1"/>
  <c r="R35" i="1"/>
  <c r="R5" i="1"/>
  <c r="R91" i="1"/>
  <c r="L40" i="1"/>
  <c r="L30" i="1"/>
  <c r="L38" i="1"/>
  <c r="L35" i="1"/>
  <c r="L34" i="1"/>
  <c r="L53" i="1"/>
  <c r="L94" i="1"/>
  <c r="L96" i="1" s="1"/>
  <c r="L52" i="1"/>
  <c r="L32" i="1"/>
  <c r="L31" i="1"/>
  <c r="L29" i="1"/>
  <c r="L28" i="1"/>
  <c r="L41" i="1"/>
  <c r="L23" i="1"/>
  <c r="L22" i="1"/>
  <c r="L20" i="1"/>
  <c r="L19" i="1"/>
  <c r="L18" i="1"/>
  <c r="L5" i="1"/>
  <c r="L6" i="1"/>
  <c r="L17" i="1"/>
  <c r="L82" i="1"/>
  <c r="L60" i="1"/>
  <c r="L64" i="1" s="1"/>
  <c r="G5" i="1"/>
  <c r="H5" i="1"/>
  <c r="I5" i="1"/>
  <c r="G6" i="1"/>
  <c r="K6" i="1"/>
  <c r="K9" i="1"/>
  <c r="K7" i="1"/>
  <c r="K17" i="1"/>
  <c r="K18" i="1"/>
  <c r="K19" i="1"/>
  <c r="K20" i="1"/>
  <c r="K21" i="1"/>
  <c r="K23" i="1"/>
  <c r="K32" i="1"/>
  <c r="K34" i="1"/>
  <c r="K35" i="1"/>
  <c r="K38" i="1"/>
  <c r="K30" i="1"/>
  <c r="K39" i="1"/>
  <c r="K40" i="1"/>
  <c r="K41" i="1"/>
  <c r="G9" i="1"/>
  <c r="H9" i="1"/>
  <c r="I9" i="1"/>
  <c r="G7" i="1"/>
  <c r="H7" i="1"/>
  <c r="I7" i="1"/>
  <c r="H8" i="1"/>
  <c r="I8" i="1"/>
  <c r="G11" i="1"/>
  <c r="G12" i="1"/>
  <c r="I12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I21" i="1"/>
  <c r="G23" i="1"/>
  <c r="H23" i="1"/>
  <c r="I23" i="1"/>
  <c r="H27" i="1"/>
  <c r="I27" i="1"/>
  <c r="G31" i="1"/>
  <c r="G32" i="1"/>
  <c r="H32" i="1"/>
  <c r="I32" i="1"/>
  <c r="G34" i="1"/>
  <c r="H34" i="1"/>
  <c r="I34" i="1"/>
  <c r="G35" i="1"/>
  <c r="H35" i="1"/>
  <c r="I35" i="1"/>
  <c r="G36" i="1"/>
  <c r="H36" i="1"/>
  <c r="I36" i="1"/>
  <c r="G38" i="1"/>
  <c r="H38" i="1"/>
  <c r="I38" i="1"/>
  <c r="G30" i="1"/>
  <c r="H30" i="1"/>
  <c r="I30" i="1"/>
  <c r="G40" i="1"/>
  <c r="H40" i="1"/>
  <c r="G41" i="1"/>
  <c r="H41" i="1"/>
  <c r="I41" i="1"/>
  <c r="B42" i="1"/>
  <c r="C42" i="1"/>
  <c r="D42" i="1"/>
  <c r="E42" i="1"/>
  <c r="G45" i="1"/>
  <c r="G48" i="1"/>
  <c r="G94" i="1"/>
  <c r="H45" i="1"/>
  <c r="H48" i="1"/>
  <c r="I45" i="1"/>
  <c r="I48" i="1"/>
  <c r="I52" i="1"/>
  <c r="I53" i="1"/>
  <c r="K48" i="1"/>
  <c r="K94" i="1"/>
  <c r="K52" i="1"/>
  <c r="D55" i="1"/>
  <c r="J55" i="1"/>
  <c r="B60" i="1"/>
  <c r="F60" i="1"/>
  <c r="F64" i="1" s="1"/>
  <c r="G60" i="1"/>
  <c r="G64" i="1" s="1"/>
  <c r="H60" i="1"/>
  <c r="H64" i="1" s="1"/>
  <c r="I60" i="1"/>
  <c r="I64" i="1" s="1"/>
  <c r="J60" i="1"/>
  <c r="J64" i="1" s="1"/>
  <c r="K60" i="1"/>
  <c r="K64" i="1" s="1"/>
  <c r="K63" i="1"/>
  <c r="I82" i="1"/>
  <c r="J82" i="1"/>
  <c r="K82" i="1"/>
  <c r="H84" i="1"/>
  <c r="K29" i="1"/>
  <c r="Z97" i="1" l="1"/>
  <c r="C55" i="1"/>
  <c r="L55" i="1"/>
  <c r="R42" i="1"/>
  <c r="K55" i="1"/>
  <c r="G55" i="1"/>
  <c r="L42" i="1"/>
  <c r="P42" i="1"/>
  <c r="P97" i="1" s="1"/>
  <c r="E55" i="1"/>
  <c r="H55" i="1"/>
  <c r="O42" i="1"/>
  <c r="I55" i="1"/>
  <c r="F55" i="1"/>
  <c r="U97" i="1"/>
  <c r="W97" i="1"/>
  <c r="V64" i="1"/>
  <c r="V97" i="1" s="1"/>
  <c r="B55" i="1"/>
  <c r="N42" i="1"/>
  <c r="K42" i="1"/>
  <c r="R55" i="1"/>
  <c r="R97" i="1" s="1"/>
  <c r="Q55" i="1"/>
  <c r="Q42" i="1"/>
  <c r="O55" i="1"/>
  <c r="N55" i="1"/>
  <c r="M55" i="1"/>
  <c r="M42" i="1"/>
  <c r="T97" i="1"/>
  <c r="Y97" i="1"/>
  <c r="S97" i="1"/>
  <c r="X97" i="1"/>
  <c r="L97" i="1" l="1"/>
  <c r="M97" i="1"/>
  <c r="Q97" i="1"/>
  <c r="O97" i="1"/>
  <c r="N97" i="1"/>
</calcChain>
</file>

<file path=xl/sharedStrings.xml><?xml version="1.0" encoding="utf-8"?>
<sst xmlns="http://schemas.openxmlformats.org/spreadsheetml/2006/main" count="137" uniqueCount="124">
  <si>
    <t xml:space="preserve">UMass Boston's 10 Year Bachelor's Degrees Conferred </t>
  </si>
  <si>
    <t xml:space="preserve"> </t>
  </si>
  <si>
    <t>AY95-96</t>
  </si>
  <si>
    <t>AY96-97</t>
  </si>
  <si>
    <t>AY97-98</t>
  </si>
  <si>
    <t>AY98-99</t>
  </si>
  <si>
    <t>AY 99-00</t>
  </si>
  <si>
    <t>AY01-02</t>
  </si>
  <si>
    <t>AY02-03</t>
  </si>
  <si>
    <t>AY03-04</t>
  </si>
  <si>
    <t>AY04-05</t>
  </si>
  <si>
    <t>AY05-06</t>
  </si>
  <si>
    <t>AY06-07</t>
  </si>
  <si>
    <t>AY07-08</t>
  </si>
  <si>
    <t>AY08-09</t>
  </si>
  <si>
    <t>AY09-10</t>
  </si>
  <si>
    <t>AY10-11</t>
  </si>
  <si>
    <t>AY11-12</t>
  </si>
  <si>
    <t>AY12-13</t>
  </si>
  <si>
    <t>AY13-14</t>
  </si>
  <si>
    <t>AY14-15</t>
  </si>
  <si>
    <t>AY15-16</t>
  </si>
  <si>
    <t>AY16-17</t>
  </si>
  <si>
    <t>AY17-18</t>
  </si>
  <si>
    <t>AY18-19</t>
  </si>
  <si>
    <t>AY19-20</t>
  </si>
  <si>
    <t>AY20-21</t>
  </si>
  <si>
    <t>COLLEGE OF LIBERAL ARTS</t>
  </si>
  <si>
    <t>Africana Studies</t>
  </si>
  <si>
    <t>American Studies</t>
  </si>
  <si>
    <t xml:space="preserve"> -</t>
  </si>
  <si>
    <t>Anthropology</t>
  </si>
  <si>
    <t>Anthropology/History</t>
  </si>
  <si>
    <t>Art</t>
  </si>
  <si>
    <t>Asian Studies</t>
  </si>
  <si>
    <t>Classical Languages</t>
  </si>
  <si>
    <t>Classical Studies</t>
  </si>
  <si>
    <t>Communication* (New July 2012)</t>
  </si>
  <si>
    <t>-</t>
  </si>
  <si>
    <t>Community Studies</t>
  </si>
  <si>
    <t>Comm Media and Tech.</t>
  </si>
  <si>
    <t>Community Planning</t>
  </si>
  <si>
    <t>Criminal Justice</t>
  </si>
  <si>
    <t>Economics</t>
  </si>
  <si>
    <t>English</t>
  </si>
  <si>
    <t>Ethic,Social,Political Philosophy</t>
  </si>
  <si>
    <t>French</t>
  </si>
  <si>
    <t>German Studies</t>
  </si>
  <si>
    <t>History</t>
  </si>
  <si>
    <t xml:space="preserve">History and Archaeology </t>
  </si>
  <si>
    <t>Human Services</t>
  </si>
  <si>
    <t>International Relations</t>
  </si>
  <si>
    <t>Italian</t>
  </si>
  <si>
    <t>Labor Studies</t>
  </si>
  <si>
    <t>Legal Ed. Services</t>
  </si>
  <si>
    <t>Latin American and Iberian Studies</t>
  </si>
  <si>
    <t>Music</t>
  </si>
  <si>
    <t>Philosophy</t>
  </si>
  <si>
    <t>Phil. &amp; Public Policy</t>
  </si>
  <si>
    <t>Political Science</t>
  </si>
  <si>
    <t>Psychology</t>
  </si>
  <si>
    <t>Psychology/Sociology</t>
  </si>
  <si>
    <t>Russian</t>
  </si>
  <si>
    <t>Sociology</t>
  </si>
  <si>
    <t>Theater Arts</t>
  </si>
  <si>
    <t>Women's Studies</t>
  </si>
  <si>
    <t>Individual Major</t>
  </si>
  <si>
    <t>TOTAL CLA</t>
  </si>
  <si>
    <t>COLLEGE OF SCIENCE &amp; MATHEMATICS</t>
  </si>
  <si>
    <t>Biochemistry</t>
  </si>
  <si>
    <t>Biology</t>
  </si>
  <si>
    <t>Chemistry</t>
  </si>
  <si>
    <t>Computer Engineering</t>
  </si>
  <si>
    <t>Computer Science</t>
  </si>
  <si>
    <t>Engineering Physics</t>
  </si>
  <si>
    <t>Electrical Engineering</t>
  </si>
  <si>
    <t>Information Technology</t>
  </si>
  <si>
    <t>Mathematics</t>
  </si>
  <si>
    <t>Physics</t>
  </si>
  <si>
    <t>TOTAL CSM</t>
  </si>
  <si>
    <t>COLLEGE OF NURSING AND HEALTH SCIENCES</t>
  </si>
  <si>
    <t>Nursing</t>
  </si>
  <si>
    <t>Accelerated Nursing</t>
  </si>
  <si>
    <t>Nursing for RN's</t>
  </si>
  <si>
    <t>TOTAL NURSING</t>
  </si>
  <si>
    <t>EXERCISE AND HEALTH SCIENCE</t>
  </si>
  <si>
    <t>Exercise and Health Science</t>
  </si>
  <si>
    <t>TOTAL EHS</t>
  </si>
  <si>
    <t>TOTAL CNHS</t>
  </si>
  <si>
    <t>COLLEGE OF MANAGEMENT</t>
  </si>
  <si>
    <t>Accounting</t>
  </si>
  <si>
    <t>Finance</t>
  </si>
  <si>
    <t>Human Resource Management</t>
  </si>
  <si>
    <t>Info. Mgt. Finance</t>
  </si>
  <si>
    <t>Info. Mgt. Mrkt</t>
  </si>
  <si>
    <t>International Mgt.</t>
  </si>
  <si>
    <t>Mgt Info. System (MIS)</t>
  </si>
  <si>
    <t>Management</t>
  </si>
  <si>
    <t>Marketing</t>
  </si>
  <si>
    <t>Management Science for Finance</t>
  </si>
  <si>
    <t>Management Science for Marketing</t>
  </si>
  <si>
    <t>Operations Management &amp;
Management Information Systems</t>
  </si>
  <si>
    <t xml:space="preserve">Supply Chain Management </t>
  </si>
  <si>
    <t>TOTAL CM</t>
  </si>
  <si>
    <t>McCORMACK GRADUATE SCHOOL OF POLICY AND GLOBAL STUDIES</t>
  </si>
  <si>
    <t>Gerontology</t>
  </si>
  <si>
    <t xml:space="preserve">Global Affairs </t>
  </si>
  <si>
    <t>TOTAL MGS</t>
  </si>
  <si>
    <t xml:space="preserve">COLLEGE OF EDUCATION AND HUMAN DEVELOPMENT </t>
  </si>
  <si>
    <t>Early Education &amp; Care Inclusive Settings (BA)</t>
  </si>
  <si>
    <t>Elementary Education (BSEDU)</t>
  </si>
  <si>
    <t>Sport Leadership</t>
  </si>
  <si>
    <t>TOTAL CEHD</t>
  </si>
  <si>
    <t xml:space="preserve">SCHOOL FOR THE ENVIRONMENT </t>
  </si>
  <si>
    <t xml:space="preserve">Community Development </t>
  </si>
  <si>
    <t>Environmental Sciences</t>
  </si>
  <si>
    <t>Environmental Studies and Sustainability</t>
  </si>
  <si>
    <t>TOTAL SFE</t>
  </si>
  <si>
    <t xml:space="preserve">UNIVERSITY TOTAL </t>
  </si>
  <si>
    <t>NOTE:  Table includes all degrees awarded.  A student may receive more than one degree.</t>
  </si>
  <si>
    <t>Entrepreneur &amp; Small Business
 Management</t>
  </si>
  <si>
    <t>AY21-22</t>
  </si>
  <si>
    <t>AY22-23</t>
  </si>
  <si>
    <t>Sport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</si>
</sst>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2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2" fontId="1" fillId="0" borderId="0" applyFill="0" applyBorder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3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19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20" fillId="0" borderId="8" xfId="41" applyFont="1" applyFill="1" applyBorder="1" applyAlignment="1">
      <alignment horizontal="center"/>
    </xf>
    <xf numFmtId="0" fontId="20" fillId="0" borderId="0" xfId="41" applyFont="1" applyFill="1" applyBorder="1" applyAlignment="1">
      <alignment horizontal="center"/>
    </xf>
    <xf numFmtId="0" fontId="19" fillId="0" borderId="0" xfId="41" applyFont="1" applyFill="1" applyBorder="1" applyAlignment="1">
      <alignment horizontal="center"/>
    </xf>
    <xf numFmtId="0" fontId="19" fillId="0" borderId="8" xfId="4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8" xfId="41" applyNumberFormat="1" applyFont="1" applyFill="1" applyBorder="1" applyAlignment="1">
      <alignment horizontal="center"/>
    </xf>
    <xf numFmtId="1" fontId="20" fillId="0" borderId="8" xfId="41" applyNumberFormat="1" applyFont="1" applyFill="1" applyBorder="1" applyAlignment="1">
      <alignment horizontal="center"/>
    </xf>
    <xf numFmtId="0" fontId="19" fillId="0" borderId="0" xfId="41" applyFont="1" applyFill="1" applyBorder="1"/>
    <xf numFmtId="0" fontId="21" fillId="0" borderId="0" xfId="0" applyFont="1"/>
    <xf numFmtId="0" fontId="20" fillId="0" borderId="0" xfId="41" applyFont="1" applyFill="1" applyBorder="1"/>
    <xf numFmtId="0" fontId="21" fillId="0" borderId="0" xfId="41" applyFont="1" applyFill="1" applyBorder="1"/>
    <xf numFmtId="0" fontId="20" fillId="0" borderId="0" xfId="41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8" xfId="41" applyFont="1" applyFill="1" applyBorder="1"/>
    <xf numFmtId="0" fontId="19" fillId="0" borderId="8" xfId="0" applyFont="1" applyBorder="1"/>
    <xf numFmtId="0" fontId="20" fillId="0" borderId="8" xfId="41" applyFont="1" applyFill="1" applyBorder="1" applyAlignment="1">
      <alignment horizontal="left"/>
    </xf>
    <xf numFmtId="0" fontId="20" fillId="0" borderId="8" xfId="0" applyFont="1" applyBorder="1"/>
    <xf numFmtId="0" fontId="19" fillId="0" borderId="9" xfId="0" applyFont="1" applyBorder="1"/>
    <xf numFmtId="0" fontId="20" fillId="0" borderId="9" xfId="0" quotePrefix="1" applyFont="1" applyBorder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41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Degrees 2000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54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2040" name="Line 2">
          <a:extLst>
            <a:ext uri="{FF2B5EF4-FFF2-40B4-BE49-F238E27FC236}">
              <a16:creationId xmlns:a16="http://schemas.microsoft.com/office/drawing/2014/main" id="{8E76783A-DC51-6745-9FD8-4C352F4C6033}"/>
            </a:ext>
          </a:extLst>
        </xdr:cNvPr>
        <xdr:cNvSpPr>
          <a:spLocks noChangeShapeType="1"/>
        </xdr:cNvSpPr>
      </xdr:nvSpPr>
      <xdr:spPr bwMode="auto">
        <a:xfrm flipV="1">
          <a:off x="2705100" y="1035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61</xdr:row>
      <xdr:rowOff>152400</xdr:rowOff>
    </xdr:from>
    <xdr:to>
      <xdr:col>11</xdr:col>
      <xdr:colOff>0</xdr:colOff>
      <xdr:row>62</xdr:row>
      <xdr:rowOff>0</xdr:rowOff>
    </xdr:to>
    <xdr:sp macro="" textlink="">
      <xdr:nvSpPr>
        <xdr:cNvPr id="2041" name="Line 3">
          <a:extLst>
            <a:ext uri="{FF2B5EF4-FFF2-40B4-BE49-F238E27FC236}">
              <a16:creationId xmlns:a16="http://schemas.microsoft.com/office/drawing/2014/main" id="{46737285-5DF6-9749-9985-97C9EC44FFE6}"/>
            </a:ext>
          </a:extLst>
        </xdr:cNvPr>
        <xdr:cNvSpPr>
          <a:spLocks noChangeShapeType="1"/>
        </xdr:cNvSpPr>
      </xdr:nvSpPr>
      <xdr:spPr bwMode="auto">
        <a:xfrm flipV="1">
          <a:off x="2705100" y="1202690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64</xdr:row>
      <xdr:rowOff>25400</xdr:rowOff>
    </xdr:from>
    <xdr:to>
      <xdr:col>11</xdr:col>
      <xdr:colOff>0</xdr:colOff>
      <xdr:row>64</xdr:row>
      <xdr:rowOff>38100</xdr:rowOff>
    </xdr:to>
    <xdr:sp macro="" textlink="">
      <xdr:nvSpPr>
        <xdr:cNvPr id="2042" name="Line 4">
          <a:extLst>
            <a:ext uri="{FF2B5EF4-FFF2-40B4-BE49-F238E27FC236}">
              <a16:creationId xmlns:a16="http://schemas.microsoft.com/office/drawing/2014/main" id="{22B183FA-FE57-B541-911D-C82D99731551}"/>
            </a:ext>
          </a:extLst>
        </xdr:cNvPr>
        <xdr:cNvSpPr>
          <a:spLocks noChangeShapeType="1"/>
        </xdr:cNvSpPr>
      </xdr:nvSpPr>
      <xdr:spPr bwMode="auto">
        <a:xfrm flipV="1">
          <a:off x="2705100" y="12471400"/>
          <a:ext cx="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56</xdr:row>
      <xdr:rowOff>127000</xdr:rowOff>
    </xdr:from>
    <xdr:to>
      <xdr:col>15</xdr:col>
      <xdr:colOff>0</xdr:colOff>
      <xdr:row>56</xdr:row>
      <xdr:rowOff>139700</xdr:rowOff>
    </xdr:to>
    <xdr:sp macro="" textlink="">
      <xdr:nvSpPr>
        <xdr:cNvPr id="2043" name="Line 5">
          <a:extLst>
            <a:ext uri="{FF2B5EF4-FFF2-40B4-BE49-F238E27FC236}">
              <a16:creationId xmlns:a16="http://schemas.microsoft.com/office/drawing/2014/main" id="{3ECCF586-7C71-CE4C-B57B-08FFF9617955}"/>
            </a:ext>
          </a:extLst>
        </xdr:cNvPr>
        <xdr:cNvSpPr>
          <a:spLocks noChangeShapeType="1"/>
        </xdr:cNvSpPr>
      </xdr:nvSpPr>
      <xdr:spPr bwMode="auto">
        <a:xfrm>
          <a:off x="2705100" y="11049000"/>
          <a:ext cx="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9"/>
  <sheetViews>
    <sheetView tabSelected="1" topLeftCell="A67" zoomScale="130" zoomScaleNormal="130" workbookViewId="0">
      <selection activeCell="AC3" sqref="AC3"/>
    </sheetView>
  </sheetViews>
  <sheetFormatPr defaultColWidth="11.44140625" defaultRowHeight="14.4" x14ac:dyDescent="0.55000000000000004"/>
  <cols>
    <col min="1" max="1" width="23" style="1" customWidth="1"/>
    <col min="2" max="2" width="8" style="2" hidden="1" customWidth="1"/>
    <col min="3" max="3" width="0.1640625" style="2" hidden="1" customWidth="1"/>
    <col min="4" max="5" width="8" style="2" hidden="1" customWidth="1"/>
    <col min="6" max="6" width="10.44140625" style="2" hidden="1" customWidth="1"/>
    <col min="7" max="7" width="1.27734375" style="2" hidden="1" customWidth="1"/>
    <col min="8" max="9" width="10.44140625" style="2" hidden="1" customWidth="1"/>
    <col min="10" max="10" width="12.27734375" style="2" hidden="1" customWidth="1"/>
    <col min="11" max="11" width="8.1640625" style="2" hidden="1" customWidth="1"/>
    <col min="12" max="12" width="8.83203125" style="2" hidden="1" customWidth="1"/>
    <col min="13" max="13" width="8.1640625" style="2" hidden="1" customWidth="1"/>
    <col min="14" max="14" width="8.1640625" style="1" hidden="1" customWidth="1"/>
    <col min="15" max="16" width="8.44140625" style="2" hidden="1" customWidth="1"/>
    <col min="17" max="17" width="8.44140625" style="1" hidden="1" customWidth="1"/>
    <col min="18" max="18" width="8.1640625" style="1" hidden="1" customWidth="1"/>
    <col min="19" max="19" width="7.83203125" style="1" bestFit="1" customWidth="1"/>
    <col min="20" max="22" width="7.83203125" style="2" bestFit="1" customWidth="1"/>
    <col min="23" max="23" width="8.71875" style="2" customWidth="1"/>
    <col min="24" max="24" width="8.44140625" style="1" customWidth="1"/>
    <col min="25" max="25" width="7.609375" style="2" customWidth="1"/>
    <col min="26" max="26" width="7.83203125" style="1" customWidth="1"/>
    <col min="27" max="27" width="7.83203125" style="2" customWidth="1"/>
    <col min="28" max="28" width="8.27734375" style="2" customWidth="1"/>
    <col min="29" max="16384" width="11.44140625" style="1"/>
  </cols>
  <sheetData>
    <row r="1" spans="1:28" ht="18.3" x14ac:dyDescent="0.7">
      <c r="A1" s="29" t="s">
        <v>0</v>
      </c>
    </row>
    <row r="3" spans="1:28" ht="14.7" thickBot="1" x14ac:dyDescent="0.6">
      <c r="A3" s="27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8" t="s">
        <v>7</v>
      </c>
      <c r="H3" s="28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4" t="s">
        <v>25</v>
      </c>
      <c r="Z3" s="14" t="s">
        <v>26</v>
      </c>
      <c r="AA3" s="14" t="s">
        <v>121</v>
      </c>
      <c r="AB3" s="14" t="s">
        <v>122</v>
      </c>
    </row>
    <row r="4" spans="1:28" x14ac:dyDescent="0.55000000000000004">
      <c r="A4" s="18" t="s">
        <v>27</v>
      </c>
    </row>
    <row r="5" spans="1:28" x14ac:dyDescent="0.55000000000000004">
      <c r="A5" s="1" t="s">
        <v>28</v>
      </c>
      <c r="B5" s="2">
        <v>10</v>
      </c>
      <c r="C5" s="2">
        <v>13</v>
      </c>
      <c r="D5" s="2">
        <v>5</v>
      </c>
      <c r="E5" s="2">
        <v>10</v>
      </c>
      <c r="F5" s="2">
        <v>4</v>
      </c>
      <c r="G5" s="2">
        <f>8+4</f>
        <v>12</v>
      </c>
      <c r="H5" s="2">
        <f>7+1</f>
        <v>8</v>
      </c>
      <c r="I5" s="2">
        <f>4+4+1</f>
        <v>9</v>
      </c>
      <c r="J5" s="2">
        <v>4</v>
      </c>
      <c r="K5" s="2">
        <v>8</v>
      </c>
      <c r="L5" s="2">
        <f>7+3</f>
        <v>10</v>
      </c>
      <c r="M5" s="2">
        <f>7+3</f>
        <v>10</v>
      </c>
      <c r="N5" s="2">
        <f>1+4</f>
        <v>5</v>
      </c>
      <c r="O5" s="2">
        <f>9+3+1</f>
        <v>13</v>
      </c>
      <c r="P5" s="2">
        <v>12</v>
      </c>
      <c r="Q5" s="2">
        <f>4+2</f>
        <v>6</v>
      </c>
      <c r="R5" s="2">
        <f>8+1</f>
        <v>9</v>
      </c>
      <c r="S5" s="2">
        <v>9</v>
      </c>
      <c r="T5" s="2">
        <v>7</v>
      </c>
      <c r="U5" s="2">
        <v>9</v>
      </c>
      <c r="V5" s="2">
        <v>4</v>
      </c>
      <c r="W5" s="2">
        <v>3</v>
      </c>
      <c r="X5" s="2">
        <v>16</v>
      </c>
      <c r="Y5" s="2">
        <v>9</v>
      </c>
      <c r="Z5" s="2">
        <v>9</v>
      </c>
      <c r="AA5" s="2">
        <v>8</v>
      </c>
      <c r="AB5" s="2">
        <v>5</v>
      </c>
    </row>
    <row r="6" spans="1:28" x14ac:dyDescent="0.55000000000000004">
      <c r="A6" s="17" t="s">
        <v>29</v>
      </c>
      <c r="B6" s="2" t="s">
        <v>30</v>
      </c>
      <c r="C6" s="2" t="s">
        <v>30</v>
      </c>
      <c r="D6" s="2">
        <v>1</v>
      </c>
      <c r="E6" s="2">
        <v>3</v>
      </c>
      <c r="F6" s="2">
        <v>11</v>
      </c>
      <c r="G6" s="2">
        <f>12+2</f>
        <v>14</v>
      </c>
      <c r="H6" s="2">
        <v>12</v>
      </c>
      <c r="I6" s="2">
        <v>17</v>
      </c>
      <c r="J6" s="2">
        <v>17</v>
      </c>
      <c r="K6" s="2">
        <f>10+1</f>
        <v>11</v>
      </c>
      <c r="L6" s="2">
        <f>15+3</f>
        <v>18</v>
      </c>
      <c r="M6" s="2">
        <f>13+1</f>
        <v>14</v>
      </c>
      <c r="N6" s="2">
        <f>18+2</f>
        <v>20</v>
      </c>
      <c r="O6" s="2">
        <v>14</v>
      </c>
      <c r="P6" s="2">
        <v>11</v>
      </c>
      <c r="Q6" s="2">
        <v>14</v>
      </c>
      <c r="R6" s="2">
        <v>11</v>
      </c>
      <c r="S6" s="2">
        <v>17</v>
      </c>
      <c r="T6" s="2">
        <v>8</v>
      </c>
      <c r="U6" s="2">
        <v>8</v>
      </c>
      <c r="V6" s="2">
        <v>10</v>
      </c>
      <c r="W6" s="2">
        <v>6</v>
      </c>
      <c r="X6" s="2">
        <v>2</v>
      </c>
      <c r="Y6" s="2">
        <v>4</v>
      </c>
      <c r="Z6" s="2">
        <v>8</v>
      </c>
      <c r="AA6" s="2">
        <v>4</v>
      </c>
      <c r="AB6" s="2">
        <v>5</v>
      </c>
    </row>
    <row r="7" spans="1:28" x14ac:dyDescent="0.55000000000000004">
      <c r="A7" s="1" t="s">
        <v>31</v>
      </c>
      <c r="B7" s="2">
        <v>20</v>
      </c>
      <c r="C7" s="2">
        <v>26</v>
      </c>
      <c r="D7" s="2">
        <v>32</v>
      </c>
      <c r="E7" s="2">
        <v>23</v>
      </c>
      <c r="F7" s="2">
        <v>28</v>
      </c>
      <c r="G7" s="2">
        <f>27+1</f>
        <v>28</v>
      </c>
      <c r="H7" s="2">
        <f>26+5</f>
        <v>31</v>
      </c>
      <c r="I7" s="2">
        <f>13+2</f>
        <v>15</v>
      </c>
      <c r="J7" s="2">
        <v>20</v>
      </c>
      <c r="K7" s="2">
        <f>23+2</f>
        <v>25</v>
      </c>
      <c r="L7" s="2">
        <v>20</v>
      </c>
      <c r="M7" s="2">
        <f>25+2</f>
        <v>27</v>
      </c>
      <c r="N7" s="2">
        <f>27+3</f>
        <v>30</v>
      </c>
      <c r="O7" s="2">
        <f>24+1</f>
        <v>25</v>
      </c>
      <c r="P7" s="2">
        <v>40</v>
      </c>
      <c r="Q7" s="2">
        <f>31+7</f>
        <v>38</v>
      </c>
      <c r="R7" s="2">
        <f>45+1</f>
        <v>46</v>
      </c>
      <c r="S7" s="2">
        <v>29</v>
      </c>
      <c r="T7" s="2">
        <v>26</v>
      </c>
      <c r="U7" s="2">
        <v>40</v>
      </c>
      <c r="V7" s="2">
        <v>20</v>
      </c>
      <c r="W7" s="2">
        <v>31</v>
      </c>
      <c r="X7" s="2">
        <v>33</v>
      </c>
      <c r="Y7" s="2">
        <v>26</v>
      </c>
      <c r="Z7" s="2">
        <v>26</v>
      </c>
      <c r="AA7" s="2">
        <v>27</v>
      </c>
      <c r="AB7" s="2">
        <v>24</v>
      </c>
    </row>
    <row r="8" spans="1:28" x14ac:dyDescent="0.55000000000000004">
      <c r="A8" s="1" t="s">
        <v>32</v>
      </c>
      <c r="B8" s="2">
        <v>1</v>
      </c>
      <c r="C8" s="2">
        <v>1</v>
      </c>
      <c r="D8" s="2">
        <v>2</v>
      </c>
      <c r="E8" s="2">
        <v>2</v>
      </c>
      <c r="F8" s="2">
        <v>1</v>
      </c>
      <c r="G8" s="2">
        <v>2</v>
      </c>
      <c r="H8" s="2">
        <f>3+1</f>
        <v>4</v>
      </c>
      <c r="I8" s="2">
        <f>1+1</f>
        <v>2</v>
      </c>
      <c r="J8" s="2">
        <v>1</v>
      </c>
      <c r="K8" s="2">
        <v>2</v>
      </c>
      <c r="L8" s="2">
        <v>0</v>
      </c>
      <c r="M8" s="2">
        <v>2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3</v>
      </c>
      <c r="Y8" s="2">
        <v>0</v>
      </c>
      <c r="Z8" s="2">
        <v>0</v>
      </c>
      <c r="AA8" s="2">
        <v>0</v>
      </c>
      <c r="AB8" s="2">
        <v>0</v>
      </c>
    </row>
    <row r="9" spans="1:28" x14ac:dyDescent="0.55000000000000004">
      <c r="A9" s="1" t="s">
        <v>33</v>
      </c>
      <c r="B9" s="2">
        <v>30</v>
      </c>
      <c r="C9" s="2">
        <v>29</v>
      </c>
      <c r="D9" s="2">
        <v>28</v>
      </c>
      <c r="E9" s="2">
        <v>45</v>
      </c>
      <c r="F9" s="2">
        <v>30</v>
      </c>
      <c r="G9" s="2">
        <f>47+2</f>
        <v>49</v>
      </c>
      <c r="H9" s="2">
        <f>34+5</f>
        <v>39</v>
      </c>
      <c r="I9" s="2">
        <f>29+8</f>
        <v>37</v>
      </c>
      <c r="J9" s="2">
        <v>34</v>
      </c>
      <c r="K9" s="2">
        <f>34+3</f>
        <v>37</v>
      </c>
      <c r="L9" s="2">
        <v>25</v>
      </c>
      <c r="M9" s="2">
        <f>26+2</f>
        <v>28</v>
      </c>
      <c r="N9" s="2">
        <f>19+3</f>
        <v>22</v>
      </c>
      <c r="O9" s="2">
        <f>31+2</f>
        <v>33</v>
      </c>
      <c r="P9" s="2">
        <v>21</v>
      </c>
      <c r="Q9" s="2">
        <f>32+4</f>
        <v>36</v>
      </c>
      <c r="R9" s="2">
        <v>34</v>
      </c>
      <c r="S9" s="2">
        <v>25</v>
      </c>
      <c r="T9" s="2">
        <v>21</v>
      </c>
      <c r="U9" s="2">
        <v>26</v>
      </c>
      <c r="V9" s="2">
        <v>29</v>
      </c>
      <c r="W9" s="2">
        <v>32</v>
      </c>
      <c r="X9" s="2">
        <v>18</v>
      </c>
      <c r="Y9" s="2">
        <v>30</v>
      </c>
      <c r="Z9" s="2">
        <v>29</v>
      </c>
      <c r="AA9" s="2">
        <v>31</v>
      </c>
      <c r="AB9" s="2">
        <v>14</v>
      </c>
    </row>
    <row r="10" spans="1:28" x14ac:dyDescent="0.55000000000000004">
      <c r="A10" s="1" t="s">
        <v>34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2</v>
      </c>
      <c r="Q10" s="2">
        <f>5+1</f>
        <v>6</v>
      </c>
      <c r="R10" s="2">
        <v>10</v>
      </c>
      <c r="S10" s="2">
        <f>8+1</f>
        <v>9</v>
      </c>
      <c r="T10" s="2">
        <v>10</v>
      </c>
      <c r="U10" s="2">
        <v>5</v>
      </c>
      <c r="V10" s="2">
        <v>8</v>
      </c>
      <c r="W10" s="2">
        <v>5</v>
      </c>
      <c r="X10" s="2">
        <v>6</v>
      </c>
      <c r="Y10" s="2">
        <v>10</v>
      </c>
      <c r="Z10" s="2">
        <v>5</v>
      </c>
      <c r="AA10" s="2">
        <v>4</v>
      </c>
      <c r="AB10" s="2">
        <v>11</v>
      </c>
    </row>
    <row r="11" spans="1:28" x14ac:dyDescent="0.55000000000000004">
      <c r="A11" s="1" t="s">
        <v>35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f>2+3</f>
        <v>5</v>
      </c>
      <c r="H11" s="2">
        <v>0</v>
      </c>
      <c r="I11" s="2">
        <v>1</v>
      </c>
      <c r="J11" s="2">
        <v>2</v>
      </c>
      <c r="K11" s="2">
        <v>2</v>
      </c>
      <c r="L11" s="2">
        <v>1</v>
      </c>
      <c r="M11" s="2">
        <f>1+1</f>
        <v>2</v>
      </c>
      <c r="N11" s="2">
        <v>4</v>
      </c>
      <c r="O11" s="2">
        <v>4</v>
      </c>
      <c r="P11" s="2">
        <v>1</v>
      </c>
      <c r="Q11" s="2">
        <f>1+1</f>
        <v>2</v>
      </c>
      <c r="R11" s="2">
        <v>1</v>
      </c>
      <c r="S11" s="2">
        <v>3</v>
      </c>
      <c r="T11" s="2">
        <v>0</v>
      </c>
      <c r="U11" s="2">
        <v>1</v>
      </c>
      <c r="V11" s="2">
        <v>2</v>
      </c>
      <c r="W11" s="2">
        <v>1</v>
      </c>
      <c r="X11" s="2">
        <v>1</v>
      </c>
      <c r="Y11" s="2">
        <v>1</v>
      </c>
      <c r="Z11" s="2">
        <v>0</v>
      </c>
      <c r="AA11" s="2">
        <v>2</v>
      </c>
      <c r="AB11" s="2">
        <v>0</v>
      </c>
    </row>
    <row r="12" spans="1:28" x14ac:dyDescent="0.55000000000000004">
      <c r="A12" s="1" t="s">
        <v>36</v>
      </c>
      <c r="B12" s="2">
        <v>4</v>
      </c>
      <c r="C12" s="2">
        <v>3</v>
      </c>
      <c r="D12" s="2">
        <v>3</v>
      </c>
      <c r="E12" s="2">
        <v>3</v>
      </c>
      <c r="F12" s="2">
        <v>3</v>
      </c>
      <c r="G12" s="2">
        <f>2+2</f>
        <v>4</v>
      </c>
      <c r="H12" s="2">
        <v>1</v>
      </c>
      <c r="I12" s="2">
        <f>7+1</f>
        <v>8</v>
      </c>
      <c r="J12" s="2">
        <v>0</v>
      </c>
      <c r="K12" s="2">
        <v>4</v>
      </c>
      <c r="L12" s="2">
        <v>2</v>
      </c>
      <c r="M12" s="2">
        <f>9+1</f>
        <v>10</v>
      </c>
      <c r="N12" s="2">
        <f>4+2</f>
        <v>6</v>
      </c>
      <c r="O12" s="2">
        <v>2</v>
      </c>
      <c r="P12" s="2">
        <v>2</v>
      </c>
      <c r="Q12" s="2">
        <f>1+1</f>
        <v>2</v>
      </c>
      <c r="R12" s="2">
        <v>7</v>
      </c>
      <c r="S12" s="2">
        <v>5</v>
      </c>
      <c r="T12" s="2">
        <v>3</v>
      </c>
      <c r="U12" s="2">
        <v>1</v>
      </c>
      <c r="V12" s="2">
        <v>2</v>
      </c>
      <c r="W12" s="2">
        <v>2</v>
      </c>
      <c r="X12" s="2">
        <v>2</v>
      </c>
      <c r="Y12" s="2">
        <v>3</v>
      </c>
      <c r="Z12" s="2">
        <v>5</v>
      </c>
      <c r="AA12" s="2">
        <v>4</v>
      </c>
      <c r="AB12" s="2">
        <v>7</v>
      </c>
    </row>
    <row r="13" spans="1:28" x14ac:dyDescent="0.55000000000000004">
      <c r="A13" s="1" t="s">
        <v>37</v>
      </c>
      <c r="N13" s="2"/>
      <c r="Q13" s="2"/>
      <c r="R13" s="2" t="s">
        <v>38</v>
      </c>
      <c r="S13" s="2">
        <v>17</v>
      </c>
      <c r="T13" s="2">
        <f>46+1+1</f>
        <v>48</v>
      </c>
      <c r="U13" s="2">
        <v>66</v>
      </c>
      <c r="V13" s="2">
        <v>93</v>
      </c>
      <c r="W13" s="2">
        <f>96+1+2</f>
        <v>99</v>
      </c>
      <c r="X13" s="2">
        <f>1+107</f>
        <v>108</v>
      </c>
      <c r="Y13" s="2">
        <f>108+1</f>
        <v>109</v>
      </c>
      <c r="Z13" s="2">
        <v>106</v>
      </c>
      <c r="AA13" s="2">
        <v>98</v>
      </c>
      <c r="AB13" s="2">
        <v>66</v>
      </c>
    </row>
    <row r="14" spans="1:28" x14ac:dyDescent="0.55000000000000004">
      <c r="A14" s="1" t="s">
        <v>39</v>
      </c>
      <c r="H14" s="2">
        <v>0</v>
      </c>
      <c r="I14" s="2">
        <v>0</v>
      </c>
      <c r="J14" s="2">
        <v>0</v>
      </c>
      <c r="K14" s="2">
        <v>0</v>
      </c>
      <c r="L14" s="2">
        <v>9</v>
      </c>
      <c r="M14" s="2">
        <v>48</v>
      </c>
      <c r="N14" s="2">
        <v>50</v>
      </c>
      <c r="O14" s="2">
        <v>31</v>
      </c>
      <c r="P14" s="2">
        <v>32</v>
      </c>
      <c r="Q14" s="2">
        <v>27</v>
      </c>
      <c r="R14" s="2">
        <v>3</v>
      </c>
      <c r="S14" s="2">
        <v>4</v>
      </c>
      <c r="T14" s="2">
        <v>1</v>
      </c>
      <c r="U14" s="2">
        <v>5</v>
      </c>
      <c r="V14" s="2">
        <v>2</v>
      </c>
      <c r="W14" s="2">
        <v>1</v>
      </c>
      <c r="X14" s="2">
        <v>1</v>
      </c>
      <c r="Y14" s="2">
        <v>2</v>
      </c>
      <c r="Z14" s="2">
        <f>1+2</f>
        <v>3</v>
      </c>
      <c r="AA14" s="2">
        <v>0</v>
      </c>
      <c r="AB14" s="2">
        <v>0</v>
      </c>
    </row>
    <row r="15" spans="1:28" x14ac:dyDescent="0.55000000000000004">
      <c r="A15" s="1" t="s">
        <v>40</v>
      </c>
      <c r="G15" s="2">
        <v>0</v>
      </c>
      <c r="H15" s="2">
        <v>0</v>
      </c>
      <c r="I15" s="2">
        <v>0</v>
      </c>
      <c r="J15" s="2">
        <v>0</v>
      </c>
      <c r="K15" s="2">
        <v>2</v>
      </c>
      <c r="L15" s="2">
        <v>4</v>
      </c>
      <c r="M15" s="2">
        <v>2</v>
      </c>
      <c r="N15" s="2">
        <v>3</v>
      </c>
      <c r="O15" s="2">
        <v>3</v>
      </c>
      <c r="P15" s="2">
        <v>0</v>
      </c>
      <c r="Q15" s="2">
        <v>3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</row>
    <row r="16" spans="1:28" x14ac:dyDescent="0.55000000000000004">
      <c r="A16" s="1" t="s">
        <v>41</v>
      </c>
      <c r="B16" s="2">
        <v>5</v>
      </c>
      <c r="C16" s="2">
        <v>4</v>
      </c>
      <c r="D16" s="2">
        <v>4</v>
      </c>
      <c r="E16" s="2">
        <v>6</v>
      </c>
      <c r="F16" s="2">
        <v>2</v>
      </c>
      <c r="G16" s="2">
        <v>1</v>
      </c>
      <c r="H16" s="2">
        <v>6</v>
      </c>
      <c r="I16" s="2">
        <v>4</v>
      </c>
      <c r="J16" s="2">
        <v>10</v>
      </c>
      <c r="K16" s="2">
        <v>10</v>
      </c>
      <c r="L16" s="2">
        <v>8</v>
      </c>
      <c r="M16" s="2">
        <v>5</v>
      </c>
      <c r="N16" s="2">
        <v>6</v>
      </c>
      <c r="O16" s="2">
        <v>6</v>
      </c>
      <c r="P16" s="2">
        <v>6</v>
      </c>
      <c r="Q16" s="2">
        <v>0</v>
      </c>
      <c r="R16" s="2">
        <v>0</v>
      </c>
      <c r="S16" s="2">
        <v>1</v>
      </c>
      <c r="T16" s="2">
        <v>2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</row>
    <row r="17" spans="1:28" x14ac:dyDescent="0.55000000000000004">
      <c r="A17" s="1" t="s">
        <v>42</v>
      </c>
      <c r="B17" s="2" t="s">
        <v>30</v>
      </c>
      <c r="C17" s="2" t="s">
        <v>30</v>
      </c>
      <c r="D17" s="2">
        <v>2</v>
      </c>
      <c r="E17" s="2">
        <v>9</v>
      </c>
      <c r="F17" s="2">
        <v>25</v>
      </c>
      <c r="G17" s="2">
        <f>70+5</f>
        <v>75</v>
      </c>
      <c r="H17" s="2">
        <f>64+6</f>
        <v>70</v>
      </c>
      <c r="I17" s="2">
        <f>59+6</f>
        <v>65</v>
      </c>
      <c r="J17" s="2">
        <v>59</v>
      </c>
      <c r="K17" s="2">
        <f>78+2</f>
        <v>80</v>
      </c>
      <c r="L17" s="2">
        <f>72+2</f>
        <v>74</v>
      </c>
      <c r="M17" s="2">
        <f>98+7</f>
        <v>105</v>
      </c>
      <c r="N17" s="2">
        <f>99+7</f>
        <v>106</v>
      </c>
      <c r="O17" s="2">
        <f>113+7</f>
        <v>120</v>
      </c>
      <c r="P17" s="2">
        <f>137+3</f>
        <v>140</v>
      </c>
      <c r="Q17" s="2">
        <f>119+6</f>
        <v>125</v>
      </c>
      <c r="R17" s="2">
        <v>160</v>
      </c>
      <c r="S17" s="2">
        <v>165</v>
      </c>
      <c r="T17" s="2">
        <v>140</v>
      </c>
      <c r="U17" s="2">
        <v>156</v>
      </c>
      <c r="V17" s="2">
        <v>161</v>
      </c>
      <c r="W17" s="2">
        <v>119</v>
      </c>
      <c r="X17" s="2">
        <v>135</v>
      </c>
      <c r="Y17" s="2">
        <v>136</v>
      </c>
      <c r="Z17" s="2">
        <v>154</v>
      </c>
      <c r="AA17" s="2">
        <v>145</v>
      </c>
      <c r="AB17" s="2">
        <v>144</v>
      </c>
    </row>
    <row r="18" spans="1:28" x14ac:dyDescent="0.55000000000000004">
      <c r="A18" s="1" t="s">
        <v>43</v>
      </c>
      <c r="B18" s="2">
        <v>61</v>
      </c>
      <c r="C18" s="2">
        <v>52</v>
      </c>
      <c r="D18" s="2">
        <v>59</v>
      </c>
      <c r="E18" s="2">
        <v>56</v>
      </c>
      <c r="F18" s="2">
        <v>47</v>
      </c>
      <c r="G18" s="2">
        <f>62+13</f>
        <v>75</v>
      </c>
      <c r="H18" s="2">
        <f>54+6</f>
        <v>60</v>
      </c>
      <c r="I18" s="2">
        <f>80+12</f>
        <v>92</v>
      </c>
      <c r="J18" s="2">
        <v>76</v>
      </c>
      <c r="K18" s="2">
        <f>78+3</f>
        <v>81</v>
      </c>
      <c r="L18" s="2">
        <f>52+3</f>
        <v>55</v>
      </c>
      <c r="M18" s="2">
        <f>60+4+1</f>
        <v>65</v>
      </c>
      <c r="N18" s="2">
        <f>53+2</f>
        <v>55</v>
      </c>
      <c r="O18" s="2">
        <f>61+10</f>
        <v>71</v>
      </c>
      <c r="P18" s="2">
        <v>78</v>
      </c>
      <c r="Q18" s="2">
        <f>76+10</f>
        <v>86</v>
      </c>
      <c r="R18" s="2">
        <f>81+11+1</f>
        <v>93</v>
      </c>
      <c r="S18" s="2">
        <v>95</v>
      </c>
      <c r="T18" s="2">
        <v>110</v>
      </c>
      <c r="U18" s="2">
        <v>125</v>
      </c>
      <c r="V18" s="2">
        <v>143</v>
      </c>
      <c r="W18" s="2">
        <v>139</v>
      </c>
      <c r="X18" s="2">
        <v>118</v>
      </c>
      <c r="Y18" s="2">
        <v>131</v>
      </c>
      <c r="Z18" s="2">
        <v>134</v>
      </c>
      <c r="AA18" s="2">
        <v>94</v>
      </c>
      <c r="AB18" s="2">
        <v>85</v>
      </c>
    </row>
    <row r="19" spans="1:28" x14ac:dyDescent="0.55000000000000004">
      <c r="A19" s="1" t="s">
        <v>44</v>
      </c>
      <c r="B19" s="2">
        <v>117</v>
      </c>
      <c r="C19" s="2">
        <v>141</v>
      </c>
      <c r="D19" s="2">
        <v>132</v>
      </c>
      <c r="E19" s="2">
        <v>109</v>
      </c>
      <c r="F19" s="2">
        <v>125</v>
      </c>
      <c r="G19" s="2">
        <f>118+10</f>
        <v>128</v>
      </c>
      <c r="H19" s="2">
        <f>113+7</f>
        <v>120</v>
      </c>
      <c r="I19" s="2">
        <f>120+5</f>
        <v>125</v>
      </c>
      <c r="J19" s="2">
        <v>125</v>
      </c>
      <c r="K19" s="2">
        <f>114+6</f>
        <v>120</v>
      </c>
      <c r="L19" s="2">
        <f>107+4</f>
        <v>111</v>
      </c>
      <c r="M19" s="2">
        <f>101+8</f>
        <v>109</v>
      </c>
      <c r="N19" s="2">
        <f>97+7</f>
        <v>104</v>
      </c>
      <c r="O19" s="2">
        <f>106+1</f>
        <v>107</v>
      </c>
      <c r="P19" s="2">
        <v>126</v>
      </c>
      <c r="Q19" s="2">
        <f>128+4</f>
        <v>132</v>
      </c>
      <c r="R19" s="2">
        <v>99</v>
      </c>
      <c r="S19" s="2">
        <v>105</v>
      </c>
      <c r="T19" s="2">
        <v>111</v>
      </c>
      <c r="U19" s="2">
        <v>92</v>
      </c>
      <c r="V19" s="2">
        <v>95</v>
      </c>
      <c r="W19" s="2">
        <v>93</v>
      </c>
      <c r="X19" s="2">
        <v>82</v>
      </c>
      <c r="Y19" s="2">
        <v>69</v>
      </c>
      <c r="Z19" s="2">
        <v>84</v>
      </c>
      <c r="AA19" s="2">
        <v>80</v>
      </c>
      <c r="AB19" s="2">
        <v>75</v>
      </c>
    </row>
    <row r="20" spans="1:28" x14ac:dyDescent="0.55000000000000004">
      <c r="A20" s="1" t="s">
        <v>45</v>
      </c>
      <c r="B20" s="2">
        <v>0</v>
      </c>
      <c r="C20" s="2">
        <v>4</v>
      </c>
      <c r="D20" s="2">
        <v>9</v>
      </c>
      <c r="E20" s="2">
        <v>8</v>
      </c>
      <c r="F20" s="2">
        <v>5</v>
      </c>
      <c r="G20" s="2">
        <f>7+2</f>
        <v>9</v>
      </c>
      <c r="H20" s="2">
        <f>4+2</f>
        <v>6</v>
      </c>
      <c r="I20" s="2">
        <f>5+2</f>
        <v>7</v>
      </c>
      <c r="J20" s="2">
        <v>2</v>
      </c>
      <c r="K20" s="2">
        <f>3+3</f>
        <v>6</v>
      </c>
      <c r="L20" s="2">
        <f>7+2</f>
        <v>9</v>
      </c>
      <c r="M20" s="2">
        <f>2+1</f>
        <v>3</v>
      </c>
      <c r="N20" s="2">
        <f>2+1</f>
        <v>3</v>
      </c>
      <c r="O20" s="2">
        <f>6+1</f>
        <v>7</v>
      </c>
      <c r="P20" s="2">
        <v>2</v>
      </c>
      <c r="Q20" s="2">
        <v>6</v>
      </c>
      <c r="R20" s="2">
        <v>5</v>
      </c>
      <c r="S20" s="2">
        <v>4</v>
      </c>
      <c r="T20" s="2">
        <v>4</v>
      </c>
      <c r="U20" s="2">
        <v>3</v>
      </c>
      <c r="V20" s="2">
        <v>13</v>
      </c>
      <c r="W20" s="2">
        <v>3</v>
      </c>
      <c r="X20" s="2">
        <v>8</v>
      </c>
      <c r="Y20" s="2">
        <v>6</v>
      </c>
      <c r="Z20" s="2">
        <v>3</v>
      </c>
      <c r="AA20" s="2">
        <v>7</v>
      </c>
      <c r="AB20" s="2">
        <v>4</v>
      </c>
    </row>
    <row r="21" spans="1:28" x14ac:dyDescent="0.55000000000000004">
      <c r="A21" s="1" t="s">
        <v>46</v>
      </c>
      <c r="B21" s="2">
        <v>9</v>
      </c>
      <c r="C21" s="2">
        <v>3</v>
      </c>
      <c r="D21" s="2">
        <v>3</v>
      </c>
      <c r="E21" s="2">
        <v>3</v>
      </c>
      <c r="F21" s="2">
        <v>6</v>
      </c>
      <c r="G21" s="2">
        <f>3+2</f>
        <v>5</v>
      </c>
      <c r="H21" s="2">
        <v>2</v>
      </c>
      <c r="I21" s="2">
        <f>4+2</f>
        <v>6</v>
      </c>
      <c r="J21" s="2">
        <v>3</v>
      </c>
      <c r="K21" s="2">
        <f>1+2</f>
        <v>3</v>
      </c>
      <c r="L21" s="2">
        <v>5</v>
      </c>
      <c r="M21" s="2">
        <v>3</v>
      </c>
      <c r="N21" s="2">
        <v>1</v>
      </c>
      <c r="O21" s="2">
        <f>1+1</f>
        <v>2</v>
      </c>
      <c r="P21" s="2">
        <v>3</v>
      </c>
      <c r="Q21" s="2">
        <f>8+3</f>
        <v>11</v>
      </c>
      <c r="R21" s="2">
        <v>8</v>
      </c>
      <c r="S21" s="2">
        <v>6</v>
      </c>
      <c r="T21" s="2">
        <v>7</v>
      </c>
      <c r="U21" s="2">
        <v>3</v>
      </c>
      <c r="V21" s="2">
        <v>11</v>
      </c>
      <c r="W21" s="2">
        <v>4</v>
      </c>
      <c r="X21" s="2">
        <v>3</v>
      </c>
      <c r="Y21" s="2">
        <v>2</v>
      </c>
      <c r="Z21" s="35">
        <v>3</v>
      </c>
      <c r="AA21" s="2">
        <v>3</v>
      </c>
      <c r="AB21" s="2">
        <v>3</v>
      </c>
    </row>
    <row r="22" spans="1:28" x14ac:dyDescent="0.55000000000000004">
      <c r="A22" s="1" t="s">
        <v>47</v>
      </c>
      <c r="B22" s="2">
        <v>0</v>
      </c>
      <c r="C22" s="2">
        <v>0</v>
      </c>
      <c r="D22" s="2">
        <v>0</v>
      </c>
      <c r="E22" s="2">
        <v>1</v>
      </c>
      <c r="F22" s="2">
        <v>3</v>
      </c>
      <c r="G22" s="2">
        <v>1</v>
      </c>
      <c r="H22" s="2">
        <v>0</v>
      </c>
      <c r="I22" s="2">
        <v>3</v>
      </c>
      <c r="J22" s="2">
        <v>0</v>
      </c>
      <c r="K22" s="2">
        <v>0</v>
      </c>
      <c r="L22" s="2">
        <f>1+1</f>
        <v>2</v>
      </c>
      <c r="M22" s="2">
        <v>1</v>
      </c>
      <c r="N22" s="2">
        <v>0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</row>
    <row r="23" spans="1:28" x14ac:dyDescent="0.55000000000000004">
      <c r="A23" s="1" t="s">
        <v>48</v>
      </c>
      <c r="B23" s="2">
        <v>54</v>
      </c>
      <c r="D23" s="2">
        <v>54</v>
      </c>
      <c r="E23" s="2">
        <v>41</v>
      </c>
      <c r="F23" s="2">
        <v>45</v>
      </c>
      <c r="G23" s="2">
        <f>51+3</f>
        <v>54</v>
      </c>
      <c r="H23" s="2">
        <f>36+1</f>
        <v>37</v>
      </c>
      <c r="I23" s="2">
        <f>43+2</f>
        <v>45</v>
      </c>
      <c r="J23" s="2">
        <v>45</v>
      </c>
      <c r="K23" s="2">
        <f>37+3</f>
        <v>40</v>
      </c>
      <c r="L23" s="2">
        <f>39+2</f>
        <v>41</v>
      </c>
      <c r="M23" s="2">
        <f>38+4</f>
        <v>42</v>
      </c>
      <c r="N23" s="2">
        <f>48+3</f>
        <v>51</v>
      </c>
      <c r="O23" s="2">
        <f>50+1</f>
        <v>51</v>
      </c>
      <c r="P23" s="2">
        <v>49</v>
      </c>
      <c r="Q23" s="2">
        <v>48</v>
      </c>
      <c r="R23" s="2">
        <f>39+3</f>
        <v>42</v>
      </c>
      <c r="S23" s="2">
        <v>49</v>
      </c>
      <c r="T23" s="2">
        <v>51</v>
      </c>
      <c r="U23" s="2">
        <v>39</v>
      </c>
      <c r="V23" s="2">
        <v>46</v>
      </c>
      <c r="W23" s="2">
        <v>28</v>
      </c>
      <c r="X23" s="2">
        <v>30</v>
      </c>
      <c r="Y23" s="2">
        <v>36</v>
      </c>
      <c r="Z23" s="2">
        <v>28</v>
      </c>
      <c r="AA23" s="2">
        <v>28</v>
      </c>
      <c r="AB23" s="2">
        <v>34</v>
      </c>
    </row>
    <row r="24" spans="1:28" x14ac:dyDescent="0.55000000000000004">
      <c r="A24" s="1" t="s">
        <v>49</v>
      </c>
      <c r="G24" s="2">
        <v>0</v>
      </c>
      <c r="H24" s="2">
        <v>0</v>
      </c>
      <c r="I24" s="2">
        <v>0</v>
      </c>
      <c r="J24" s="2">
        <v>0</v>
      </c>
      <c r="K24" s="2">
        <v>2</v>
      </c>
      <c r="L24" s="2">
        <v>4</v>
      </c>
      <c r="M24" s="2">
        <v>0</v>
      </c>
      <c r="N24" s="2">
        <v>4</v>
      </c>
      <c r="O24" s="2">
        <v>3</v>
      </c>
      <c r="P24" s="2">
        <v>3</v>
      </c>
      <c r="Q24" s="2">
        <v>4</v>
      </c>
      <c r="R24" s="2">
        <v>5</v>
      </c>
      <c r="S24" s="2">
        <v>2</v>
      </c>
      <c r="T24" s="2">
        <v>3</v>
      </c>
      <c r="U24" s="2">
        <v>6</v>
      </c>
      <c r="V24" s="2">
        <v>4</v>
      </c>
      <c r="W24" s="2">
        <v>2</v>
      </c>
      <c r="X24" s="2">
        <v>0</v>
      </c>
      <c r="Y24" s="2">
        <v>0</v>
      </c>
      <c r="Z24" s="2">
        <v>3</v>
      </c>
      <c r="AA24" s="2">
        <v>3</v>
      </c>
      <c r="AB24" s="2">
        <v>1</v>
      </c>
    </row>
    <row r="25" spans="1:28" x14ac:dyDescent="0.55000000000000004">
      <c r="A25" s="1" t="s">
        <v>50</v>
      </c>
      <c r="B25" s="2">
        <v>32</v>
      </c>
      <c r="C25" s="2">
        <v>32</v>
      </c>
      <c r="D25" s="2">
        <v>45</v>
      </c>
      <c r="E25" s="2">
        <v>33</v>
      </c>
      <c r="F25" s="2">
        <v>42</v>
      </c>
      <c r="G25" s="2">
        <v>35</v>
      </c>
      <c r="H25" s="2">
        <v>25</v>
      </c>
      <c r="I25" s="2">
        <v>34</v>
      </c>
      <c r="J25" s="2">
        <v>28</v>
      </c>
      <c r="K25" s="2">
        <v>40</v>
      </c>
      <c r="L25" s="2">
        <v>32</v>
      </c>
      <c r="M25" s="2">
        <v>46</v>
      </c>
      <c r="N25" s="2">
        <v>19</v>
      </c>
      <c r="O25" s="2">
        <v>31</v>
      </c>
      <c r="P25" s="2">
        <v>19</v>
      </c>
      <c r="Q25" s="2">
        <v>17</v>
      </c>
      <c r="R25" s="2">
        <v>21</v>
      </c>
      <c r="S25" s="2">
        <v>39</v>
      </c>
      <c r="T25" s="2">
        <v>39</v>
      </c>
      <c r="U25" s="2">
        <v>39</v>
      </c>
      <c r="V25" s="2">
        <v>37</v>
      </c>
      <c r="W25" s="2">
        <v>44</v>
      </c>
      <c r="X25" s="2">
        <v>36</v>
      </c>
      <c r="Y25" s="2">
        <v>32</v>
      </c>
      <c r="Z25" s="2">
        <v>49</v>
      </c>
      <c r="AA25" s="2">
        <v>22</v>
      </c>
      <c r="AB25" s="2">
        <v>26</v>
      </c>
    </row>
    <row r="26" spans="1:28" x14ac:dyDescent="0.55000000000000004">
      <c r="A26" s="1" t="s">
        <v>51</v>
      </c>
      <c r="N26" s="2"/>
      <c r="Q26" s="2"/>
      <c r="R26" s="2"/>
      <c r="S26" s="2"/>
      <c r="V26" s="2">
        <v>2</v>
      </c>
      <c r="W26" s="2">
        <v>9</v>
      </c>
      <c r="X26" s="2">
        <v>14</v>
      </c>
      <c r="Y26" s="2">
        <v>21</v>
      </c>
      <c r="Z26" s="2">
        <v>32</v>
      </c>
      <c r="AA26" s="2">
        <v>34</v>
      </c>
      <c r="AB26" s="2">
        <v>28</v>
      </c>
    </row>
    <row r="27" spans="1:28" x14ac:dyDescent="0.55000000000000004">
      <c r="A27" s="1" t="s">
        <v>52</v>
      </c>
      <c r="B27" s="2">
        <v>2</v>
      </c>
      <c r="C27" s="2">
        <v>3</v>
      </c>
      <c r="D27" s="2">
        <v>3</v>
      </c>
      <c r="E27" s="2">
        <v>3</v>
      </c>
      <c r="F27" s="2">
        <v>0</v>
      </c>
      <c r="G27" s="2">
        <v>1</v>
      </c>
      <c r="H27" s="2">
        <f>1+1</f>
        <v>2</v>
      </c>
      <c r="I27" s="2">
        <f>2+1</f>
        <v>3</v>
      </c>
      <c r="J27" s="2">
        <v>3</v>
      </c>
      <c r="K27" s="2">
        <v>1</v>
      </c>
      <c r="L27" s="2">
        <v>1</v>
      </c>
      <c r="M27" s="2">
        <v>3</v>
      </c>
      <c r="N27" s="2">
        <v>1</v>
      </c>
      <c r="O27" s="2">
        <v>1</v>
      </c>
      <c r="P27" s="2">
        <v>3</v>
      </c>
      <c r="Q27" s="2">
        <v>1</v>
      </c>
      <c r="R27" s="2">
        <v>3</v>
      </c>
      <c r="S27" s="2">
        <v>2</v>
      </c>
      <c r="T27" s="2">
        <v>4</v>
      </c>
      <c r="U27" s="2">
        <v>2</v>
      </c>
      <c r="V27" s="2">
        <v>1</v>
      </c>
      <c r="W27" s="2">
        <v>2</v>
      </c>
      <c r="X27" s="2">
        <v>1</v>
      </c>
      <c r="Y27" s="2">
        <v>2</v>
      </c>
      <c r="Z27" s="2">
        <v>0</v>
      </c>
      <c r="AA27" s="2">
        <v>3</v>
      </c>
      <c r="AB27" s="2">
        <v>0</v>
      </c>
    </row>
    <row r="28" spans="1:28" x14ac:dyDescent="0.55000000000000004">
      <c r="A28" s="1" t="s">
        <v>53</v>
      </c>
      <c r="B28" s="2">
        <v>21</v>
      </c>
      <c r="C28" s="2">
        <v>21</v>
      </c>
      <c r="D28" s="2">
        <v>22</v>
      </c>
      <c r="E28" s="2">
        <v>9</v>
      </c>
      <c r="F28" s="2">
        <v>3</v>
      </c>
      <c r="G28" s="2">
        <v>4</v>
      </c>
      <c r="H28" s="2">
        <v>4</v>
      </c>
      <c r="I28" s="2">
        <v>6</v>
      </c>
      <c r="J28" s="2">
        <v>9</v>
      </c>
      <c r="K28" s="2">
        <v>3</v>
      </c>
      <c r="L28" s="2">
        <f>7+2</f>
        <v>9</v>
      </c>
      <c r="M28" s="2">
        <v>11</v>
      </c>
      <c r="N28" s="2">
        <f>5+1</f>
        <v>6</v>
      </c>
      <c r="O28" s="2">
        <v>3</v>
      </c>
      <c r="P28" s="2">
        <v>5</v>
      </c>
      <c r="Q28" s="2">
        <v>4</v>
      </c>
      <c r="R28" s="2">
        <v>8</v>
      </c>
      <c r="S28" s="2">
        <v>6</v>
      </c>
      <c r="T28" s="2">
        <v>3</v>
      </c>
      <c r="U28" s="2">
        <v>0</v>
      </c>
      <c r="V28" s="2">
        <v>0</v>
      </c>
      <c r="W28" s="2">
        <v>2</v>
      </c>
      <c r="X28" s="2">
        <v>5</v>
      </c>
      <c r="Y28" s="2">
        <v>5</v>
      </c>
      <c r="Z28" s="2">
        <v>4</v>
      </c>
      <c r="AA28" s="2">
        <v>4</v>
      </c>
      <c r="AB28" s="2">
        <v>5</v>
      </c>
    </row>
    <row r="29" spans="1:28" x14ac:dyDescent="0.55000000000000004">
      <c r="A29" s="1" t="s">
        <v>54</v>
      </c>
      <c r="B29" s="2" t="s">
        <v>30</v>
      </c>
      <c r="C29" s="2" t="s">
        <v>30</v>
      </c>
      <c r="D29" s="2" t="s">
        <v>30</v>
      </c>
      <c r="E29" s="2">
        <v>2</v>
      </c>
      <c r="F29" s="2">
        <v>13</v>
      </c>
      <c r="G29" s="2">
        <v>9</v>
      </c>
      <c r="H29" s="2">
        <v>7</v>
      </c>
      <c r="I29" s="2">
        <v>14</v>
      </c>
      <c r="J29" s="2">
        <v>13</v>
      </c>
      <c r="K29" s="2">
        <f>12+1</f>
        <v>13</v>
      </c>
      <c r="L29" s="2">
        <f>17+1</f>
        <v>18</v>
      </c>
      <c r="M29" s="2">
        <v>12</v>
      </c>
      <c r="N29" s="2">
        <v>7</v>
      </c>
      <c r="O29" s="2">
        <f>10+1</f>
        <v>11</v>
      </c>
      <c r="P29" s="7">
        <v>4</v>
      </c>
      <c r="Q29" s="2">
        <v>4</v>
      </c>
      <c r="R29" s="2">
        <v>2</v>
      </c>
      <c r="S29" s="2">
        <v>6</v>
      </c>
      <c r="T29" s="2">
        <v>4</v>
      </c>
      <c r="U29" s="2">
        <v>0</v>
      </c>
      <c r="V29" s="2">
        <v>2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</row>
    <row r="30" spans="1:28" x14ac:dyDescent="0.55000000000000004">
      <c r="A30" s="1" t="s">
        <v>55</v>
      </c>
      <c r="B30" s="2">
        <v>18</v>
      </c>
      <c r="C30" s="2">
        <v>5</v>
      </c>
      <c r="D30" s="2">
        <v>10</v>
      </c>
      <c r="E30" s="2">
        <v>16</v>
      </c>
      <c r="F30" s="2">
        <v>22</v>
      </c>
      <c r="G30" s="2">
        <f>12+1+1</f>
        <v>14</v>
      </c>
      <c r="H30" s="2">
        <f>11+4</f>
        <v>15</v>
      </c>
      <c r="I30" s="2">
        <f>17+4</f>
        <v>21</v>
      </c>
      <c r="J30" s="2">
        <v>18</v>
      </c>
      <c r="K30" s="2">
        <f>9+2</f>
        <v>11</v>
      </c>
      <c r="L30" s="2">
        <f>15+4</f>
        <v>19</v>
      </c>
      <c r="M30" s="2">
        <f>5+3</f>
        <v>8</v>
      </c>
      <c r="N30" s="2">
        <f>9+2</f>
        <v>11</v>
      </c>
      <c r="O30" s="2">
        <f>4+1</f>
        <v>5</v>
      </c>
      <c r="P30" s="2">
        <v>14</v>
      </c>
      <c r="Q30" s="2">
        <f>12+5</f>
        <v>17</v>
      </c>
      <c r="R30" s="2">
        <f>16+1</f>
        <v>17</v>
      </c>
      <c r="S30" s="2">
        <v>11</v>
      </c>
      <c r="T30" s="2">
        <v>12</v>
      </c>
      <c r="U30" s="2">
        <v>15</v>
      </c>
      <c r="V30" s="2">
        <v>11</v>
      </c>
      <c r="W30" s="2">
        <v>8</v>
      </c>
      <c r="X30" s="2">
        <v>10</v>
      </c>
      <c r="Y30" s="2">
        <v>9</v>
      </c>
      <c r="Z30" s="2">
        <v>10</v>
      </c>
      <c r="AA30" s="2">
        <v>9</v>
      </c>
      <c r="AB30" s="2">
        <v>7</v>
      </c>
    </row>
    <row r="31" spans="1:28" x14ac:dyDescent="0.55000000000000004">
      <c r="A31" s="1" t="s">
        <v>56</v>
      </c>
      <c r="B31" s="2">
        <v>3</v>
      </c>
      <c r="C31" s="2">
        <v>6</v>
      </c>
      <c r="D31" s="2">
        <v>4</v>
      </c>
      <c r="E31" s="2">
        <v>13</v>
      </c>
      <c r="F31" s="2">
        <v>4</v>
      </c>
      <c r="G31" s="2">
        <f>9+1</f>
        <v>10</v>
      </c>
      <c r="H31" s="2">
        <v>8</v>
      </c>
      <c r="I31" s="2">
        <v>10</v>
      </c>
      <c r="J31" s="2">
        <v>6</v>
      </c>
      <c r="K31" s="2">
        <v>5</v>
      </c>
      <c r="L31" s="2">
        <f>9+1</f>
        <v>10</v>
      </c>
      <c r="M31" s="2">
        <f>9+1</f>
        <v>10</v>
      </c>
      <c r="N31" s="2">
        <v>6</v>
      </c>
      <c r="O31" s="2">
        <v>6</v>
      </c>
      <c r="P31" s="2">
        <v>6</v>
      </c>
      <c r="Q31" s="2">
        <v>7</v>
      </c>
      <c r="R31" s="2">
        <v>8</v>
      </c>
      <c r="S31" s="2">
        <v>16</v>
      </c>
      <c r="T31" s="2">
        <v>10</v>
      </c>
      <c r="U31" s="2">
        <v>13</v>
      </c>
      <c r="V31" s="2">
        <v>9</v>
      </c>
      <c r="W31" s="2">
        <v>12</v>
      </c>
      <c r="X31" s="2">
        <v>13</v>
      </c>
      <c r="Y31" s="2">
        <v>13</v>
      </c>
      <c r="Z31" s="2">
        <v>12</v>
      </c>
      <c r="AA31" s="2">
        <v>8</v>
      </c>
      <c r="AB31" s="2">
        <v>7</v>
      </c>
    </row>
    <row r="32" spans="1:28" x14ac:dyDescent="0.55000000000000004">
      <c r="A32" s="1" t="s">
        <v>57</v>
      </c>
      <c r="B32" s="2">
        <v>11</v>
      </c>
      <c r="C32" s="2">
        <v>12</v>
      </c>
      <c r="D32" s="2">
        <v>19</v>
      </c>
      <c r="E32" s="2">
        <v>10</v>
      </c>
      <c r="F32" s="2">
        <v>11</v>
      </c>
      <c r="G32" s="2">
        <f>12+5</f>
        <v>17</v>
      </c>
      <c r="H32" s="2">
        <f>6+3</f>
        <v>9</v>
      </c>
      <c r="I32" s="2">
        <f>6+4+1</f>
        <v>11</v>
      </c>
      <c r="J32" s="2">
        <v>17</v>
      </c>
      <c r="K32" s="2">
        <f>14+4</f>
        <v>18</v>
      </c>
      <c r="L32" s="2">
        <f>14+3</f>
        <v>17</v>
      </c>
      <c r="M32" s="2">
        <f>10+6</f>
        <v>16</v>
      </c>
      <c r="N32" s="2">
        <f>17+3</f>
        <v>20</v>
      </c>
      <c r="O32" s="2">
        <f>12+7</f>
        <v>19</v>
      </c>
      <c r="P32" s="2">
        <v>14</v>
      </c>
      <c r="Q32" s="2">
        <f>14+5</f>
        <v>19</v>
      </c>
      <c r="R32" s="2">
        <v>21</v>
      </c>
      <c r="S32" s="2">
        <v>14</v>
      </c>
      <c r="T32" s="2">
        <v>10</v>
      </c>
      <c r="U32" s="2">
        <v>18</v>
      </c>
      <c r="V32" s="2">
        <v>16</v>
      </c>
      <c r="W32" s="2">
        <v>20</v>
      </c>
      <c r="X32" s="2">
        <v>11</v>
      </c>
      <c r="Y32" s="2">
        <v>18</v>
      </c>
      <c r="Z32" s="2">
        <v>9</v>
      </c>
      <c r="AA32" s="2">
        <v>14</v>
      </c>
      <c r="AB32" s="2">
        <v>6</v>
      </c>
    </row>
    <row r="33" spans="1:28" x14ac:dyDescent="0.55000000000000004">
      <c r="A33" s="1" t="s">
        <v>58</v>
      </c>
      <c r="B33" s="2">
        <v>1</v>
      </c>
      <c r="C33" s="2">
        <v>3</v>
      </c>
      <c r="D33" s="2">
        <v>1</v>
      </c>
      <c r="E33" s="2">
        <v>1</v>
      </c>
      <c r="F33" s="2">
        <v>2</v>
      </c>
      <c r="G33" s="2">
        <v>1</v>
      </c>
      <c r="H33" s="2">
        <v>3</v>
      </c>
      <c r="I33" s="2">
        <v>3</v>
      </c>
      <c r="J33" s="2">
        <v>1</v>
      </c>
      <c r="K33" s="2">
        <v>2</v>
      </c>
      <c r="L33" s="2">
        <v>1</v>
      </c>
      <c r="M33" s="2">
        <v>0</v>
      </c>
      <c r="N33" s="2">
        <v>4</v>
      </c>
      <c r="O33" s="2">
        <v>2</v>
      </c>
      <c r="P33" s="2">
        <v>4</v>
      </c>
      <c r="Q33" s="2">
        <v>3</v>
      </c>
      <c r="R33" s="2">
        <v>7</v>
      </c>
      <c r="S33" s="2">
        <v>6</v>
      </c>
      <c r="T33" s="2">
        <v>4</v>
      </c>
      <c r="U33" s="2">
        <v>3</v>
      </c>
      <c r="V33" s="2">
        <v>4</v>
      </c>
      <c r="W33" s="2">
        <v>6</v>
      </c>
      <c r="X33" s="2">
        <v>0</v>
      </c>
      <c r="Y33" s="2">
        <v>3</v>
      </c>
      <c r="Z33" s="2">
        <v>5</v>
      </c>
      <c r="AA33" s="2">
        <v>3</v>
      </c>
      <c r="AB33" s="2">
        <v>2</v>
      </c>
    </row>
    <row r="34" spans="1:28" x14ac:dyDescent="0.55000000000000004">
      <c r="A34" s="1" t="s">
        <v>59</v>
      </c>
      <c r="B34" s="2">
        <v>92</v>
      </c>
      <c r="C34" s="2">
        <v>67</v>
      </c>
      <c r="D34" s="2">
        <v>71</v>
      </c>
      <c r="E34" s="2">
        <v>77</v>
      </c>
      <c r="F34" s="2">
        <v>61</v>
      </c>
      <c r="G34" s="2">
        <f>68+9</f>
        <v>77</v>
      </c>
      <c r="H34" s="2">
        <f>68+10</f>
        <v>78</v>
      </c>
      <c r="I34" s="2">
        <f>81+9</f>
        <v>90</v>
      </c>
      <c r="J34" s="2">
        <v>94</v>
      </c>
      <c r="K34" s="2">
        <f>81+1+12</f>
        <v>94</v>
      </c>
      <c r="L34" s="2">
        <f>83+9</f>
        <v>92</v>
      </c>
      <c r="M34" s="2">
        <f>68+6</f>
        <v>74</v>
      </c>
      <c r="N34" s="2">
        <f>72+7</f>
        <v>79</v>
      </c>
      <c r="O34" s="2">
        <f>64+7</f>
        <v>71</v>
      </c>
      <c r="P34" s="2">
        <v>79</v>
      </c>
      <c r="Q34" s="2">
        <f>78+5</f>
        <v>83</v>
      </c>
      <c r="R34" s="2">
        <f>73+2</f>
        <v>75</v>
      </c>
      <c r="S34" s="2">
        <v>78</v>
      </c>
      <c r="T34" s="2">
        <v>93</v>
      </c>
      <c r="U34" s="2">
        <v>70</v>
      </c>
      <c r="V34" s="2">
        <v>86</v>
      </c>
      <c r="W34" s="2">
        <v>78</v>
      </c>
      <c r="X34" s="2">
        <v>67</v>
      </c>
      <c r="Y34" s="2">
        <v>59</v>
      </c>
      <c r="Z34" s="2">
        <v>71</v>
      </c>
      <c r="AA34" s="2">
        <v>72</v>
      </c>
      <c r="AB34" s="2">
        <v>54</v>
      </c>
    </row>
    <row r="35" spans="1:28" x14ac:dyDescent="0.55000000000000004">
      <c r="A35" s="1" t="s">
        <v>60</v>
      </c>
      <c r="B35" s="2">
        <v>163</v>
      </c>
      <c r="C35" s="2">
        <v>158</v>
      </c>
      <c r="D35" s="2">
        <v>149</v>
      </c>
      <c r="E35" s="2">
        <v>165</v>
      </c>
      <c r="F35" s="2">
        <v>137</v>
      </c>
      <c r="G35" s="2">
        <f>147+11</f>
        <v>158</v>
      </c>
      <c r="H35" s="2">
        <f>162+8</f>
        <v>170</v>
      </c>
      <c r="I35" s="2">
        <f>161+9</f>
        <v>170</v>
      </c>
      <c r="J35" s="2">
        <v>172</v>
      </c>
      <c r="K35" s="2">
        <f>164+12+11</f>
        <v>187</v>
      </c>
      <c r="L35" s="2">
        <f>145+7</f>
        <v>152</v>
      </c>
      <c r="M35" s="2">
        <f>128+6+7</f>
        <v>141</v>
      </c>
      <c r="N35" s="2">
        <f>148+16+8</f>
        <v>172</v>
      </c>
      <c r="O35" s="2">
        <f>142+19+13</f>
        <v>174</v>
      </c>
      <c r="P35" s="2">
        <f>167+19</f>
        <v>186</v>
      </c>
      <c r="Q35" s="2">
        <f>191+10+16</f>
        <v>217</v>
      </c>
      <c r="R35" s="2">
        <f>215+3+1</f>
        <v>219</v>
      </c>
      <c r="S35" s="2">
        <v>217</v>
      </c>
      <c r="T35" s="2">
        <v>266</v>
      </c>
      <c r="U35" s="2">
        <v>262</v>
      </c>
      <c r="V35" s="2">
        <v>264</v>
      </c>
      <c r="W35" s="2">
        <v>250</v>
      </c>
      <c r="X35" s="2">
        <v>259</v>
      </c>
      <c r="Y35" s="2">
        <v>222</v>
      </c>
      <c r="Z35" s="2">
        <v>293</v>
      </c>
      <c r="AA35" s="2">
        <v>273</v>
      </c>
      <c r="AB35" s="2">
        <v>251</v>
      </c>
    </row>
    <row r="36" spans="1:28" x14ac:dyDescent="0.55000000000000004">
      <c r="A36" s="1" t="s">
        <v>61</v>
      </c>
      <c r="B36" s="2">
        <v>34</v>
      </c>
      <c r="C36" s="2">
        <v>46</v>
      </c>
      <c r="D36" s="2">
        <v>45</v>
      </c>
      <c r="E36" s="2">
        <v>50</v>
      </c>
      <c r="F36" s="2">
        <v>35</v>
      </c>
      <c r="G36" s="2">
        <f>50+1</f>
        <v>51</v>
      </c>
      <c r="H36" s="2">
        <f>41+1</f>
        <v>42</v>
      </c>
      <c r="I36" s="2">
        <f>45+1</f>
        <v>46</v>
      </c>
      <c r="J36" s="2">
        <v>49</v>
      </c>
      <c r="K36" s="2">
        <v>46</v>
      </c>
      <c r="L36" s="2">
        <v>30</v>
      </c>
      <c r="M36" s="2">
        <f>46+3</f>
        <v>49</v>
      </c>
      <c r="N36" s="2">
        <f>35+2+1</f>
        <v>38</v>
      </c>
      <c r="O36" s="2">
        <f>36+2+3</f>
        <v>41</v>
      </c>
      <c r="P36" s="2">
        <v>46</v>
      </c>
      <c r="Q36" s="2">
        <f>54+1+1</f>
        <v>56</v>
      </c>
      <c r="R36" s="2">
        <v>60</v>
      </c>
      <c r="S36" s="2">
        <v>52</v>
      </c>
      <c r="T36" s="2">
        <v>60</v>
      </c>
      <c r="U36" s="2">
        <v>44</v>
      </c>
      <c r="V36" s="2">
        <v>45</v>
      </c>
      <c r="W36" s="2">
        <v>26</v>
      </c>
      <c r="X36" s="2">
        <v>36</v>
      </c>
      <c r="Y36" s="2">
        <v>37</v>
      </c>
      <c r="Z36" s="2">
        <v>30</v>
      </c>
      <c r="AA36" s="2">
        <v>22</v>
      </c>
      <c r="AB36" s="2">
        <v>17</v>
      </c>
    </row>
    <row r="37" spans="1:28" x14ac:dyDescent="0.55000000000000004">
      <c r="A37" s="1" t="s">
        <v>62</v>
      </c>
      <c r="B37" s="2">
        <v>1</v>
      </c>
      <c r="C37" s="2">
        <v>1</v>
      </c>
      <c r="D37" s="2">
        <v>0</v>
      </c>
      <c r="E37" s="2">
        <v>3</v>
      </c>
      <c r="F37" s="2">
        <v>0</v>
      </c>
      <c r="G37" s="2">
        <v>1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1</v>
      </c>
      <c r="N37" s="2">
        <v>0</v>
      </c>
      <c r="O37" s="2">
        <v>1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</row>
    <row r="38" spans="1:28" x14ac:dyDescent="0.55000000000000004">
      <c r="A38" s="1" t="s">
        <v>63</v>
      </c>
      <c r="B38" s="2">
        <v>81</v>
      </c>
      <c r="C38" s="2">
        <v>94</v>
      </c>
      <c r="D38" s="2">
        <v>86</v>
      </c>
      <c r="E38" s="2">
        <v>85</v>
      </c>
      <c r="F38" s="2">
        <v>75</v>
      </c>
      <c r="G38" s="2">
        <f>57+19</f>
        <v>76</v>
      </c>
      <c r="H38" s="2">
        <f>49+14</f>
        <v>63</v>
      </c>
      <c r="I38" s="2">
        <f>58+15</f>
        <v>73</v>
      </c>
      <c r="J38" s="2">
        <v>87</v>
      </c>
      <c r="K38" s="2">
        <f>59+17</f>
        <v>76</v>
      </c>
      <c r="L38" s="2">
        <f>70+16</f>
        <v>86</v>
      </c>
      <c r="M38" s="2">
        <f>57+23</f>
        <v>80</v>
      </c>
      <c r="N38" s="2">
        <f>62+19+1</f>
        <v>82</v>
      </c>
      <c r="O38" s="2">
        <f>50+23</f>
        <v>73</v>
      </c>
      <c r="P38" s="2">
        <v>83</v>
      </c>
      <c r="Q38" s="2">
        <f>58+17</f>
        <v>75</v>
      </c>
      <c r="R38" s="2">
        <f>94+2+1</f>
        <v>97</v>
      </c>
      <c r="S38" s="2">
        <v>114</v>
      </c>
      <c r="T38" s="2">
        <v>97</v>
      </c>
      <c r="U38" s="2">
        <v>93</v>
      </c>
      <c r="V38" s="2">
        <v>91</v>
      </c>
      <c r="W38" s="2">
        <v>82</v>
      </c>
      <c r="X38" s="2">
        <v>59</v>
      </c>
      <c r="Y38" s="2">
        <v>69</v>
      </c>
      <c r="Z38" s="2">
        <v>61</v>
      </c>
      <c r="AA38" s="2">
        <v>48</v>
      </c>
      <c r="AB38" s="2">
        <v>51</v>
      </c>
    </row>
    <row r="39" spans="1:28" x14ac:dyDescent="0.55000000000000004">
      <c r="A39" s="1" t="s">
        <v>64</v>
      </c>
      <c r="G39" s="2">
        <v>7</v>
      </c>
      <c r="H39" s="2">
        <v>17</v>
      </c>
      <c r="I39" s="2">
        <v>16</v>
      </c>
      <c r="J39" s="2">
        <v>13</v>
      </c>
      <c r="K39" s="2">
        <f>15+1</f>
        <v>16</v>
      </c>
      <c r="L39" s="2">
        <v>18</v>
      </c>
      <c r="M39" s="2">
        <v>6</v>
      </c>
      <c r="N39" s="2">
        <v>3</v>
      </c>
      <c r="O39" s="2">
        <v>12</v>
      </c>
      <c r="P39" s="2">
        <v>7</v>
      </c>
      <c r="Q39" s="2">
        <v>10</v>
      </c>
      <c r="R39" s="2">
        <v>14</v>
      </c>
      <c r="S39" s="2">
        <v>16</v>
      </c>
      <c r="T39" s="2">
        <v>12</v>
      </c>
      <c r="U39" s="2">
        <v>15</v>
      </c>
      <c r="V39" s="2">
        <v>13</v>
      </c>
      <c r="W39" s="2">
        <v>13</v>
      </c>
      <c r="X39" s="2">
        <v>13</v>
      </c>
      <c r="Y39" s="2">
        <v>12</v>
      </c>
      <c r="Z39" s="2">
        <v>6</v>
      </c>
      <c r="AA39" s="2">
        <v>14</v>
      </c>
      <c r="AB39" s="2">
        <v>11</v>
      </c>
    </row>
    <row r="40" spans="1:28" x14ac:dyDescent="0.55000000000000004">
      <c r="A40" s="1" t="s">
        <v>65</v>
      </c>
      <c r="B40" s="2">
        <v>11</v>
      </c>
      <c r="C40" s="2">
        <v>14</v>
      </c>
      <c r="D40" s="2">
        <v>16</v>
      </c>
      <c r="E40" s="2">
        <v>10</v>
      </c>
      <c r="F40" s="2">
        <v>6</v>
      </c>
      <c r="G40" s="2">
        <f>5+2</f>
        <v>7</v>
      </c>
      <c r="H40" s="2">
        <f>7+4</f>
        <v>11</v>
      </c>
      <c r="I40" s="2">
        <v>1</v>
      </c>
      <c r="J40" s="2">
        <v>2</v>
      </c>
      <c r="K40" s="2">
        <f>4+2</f>
        <v>6</v>
      </c>
      <c r="L40" s="2">
        <f>7+1</f>
        <v>8</v>
      </c>
      <c r="M40" s="2">
        <f>10+1</f>
        <v>11</v>
      </c>
      <c r="N40" s="2">
        <f>5+2</f>
        <v>7</v>
      </c>
      <c r="O40" s="2">
        <f>8+1</f>
        <v>9</v>
      </c>
      <c r="P40" s="2">
        <v>6</v>
      </c>
      <c r="Q40" s="2">
        <f>7+2</f>
        <v>9</v>
      </c>
      <c r="R40" s="2">
        <v>5</v>
      </c>
      <c r="S40" s="2">
        <v>6</v>
      </c>
      <c r="T40" s="2">
        <v>8</v>
      </c>
      <c r="U40" s="2">
        <v>11</v>
      </c>
      <c r="V40" s="2">
        <v>13</v>
      </c>
      <c r="W40" s="2">
        <v>12</v>
      </c>
      <c r="X40" s="2">
        <v>8</v>
      </c>
      <c r="Y40" s="2">
        <v>11</v>
      </c>
      <c r="Z40" s="2">
        <v>14</v>
      </c>
      <c r="AA40" s="2">
        <v>13</v>
      </c>
      <c r="AB40" s="2">
        <v>7</v>
      </c>
    </row>
    <row r="41" spans="1:28" x14ac:dyDescent="0.55000000000000004">
      <c r="A41" s="1" t="s">
        <v>66</v>
      </c>
      <c r="B41" s="2">
        <v>16</v>
      </c>
      <c r="C41" s="2">
        <v>7</v>
      </c>
      <c r="D41" s="2">
        <v>10</v>
      </c>
      <c r="E41" s="2">
        <v>10</v>
      </c>
      <c r="F41" s="2">
        <v>14</v>
      </c>
      <c r="G41" s="2">
        <f>10+1</f>
        <v>11</v>
      </c>
      <c r="H41" s="2">
        <f>5+1</f>
        <v>6</v>
      </c>
      <c r="I41" s="2">
        <f>11+1</f>
        <v>12</v>
      </c>
      <c r="J41" s="2">
        <v>11</v>
      </c>
      <c r="K41" s="2">
        <f>7+4</f>
        <v>11</v>
      </c>
      <c r="L41" s="2">
        <f>5+2</f>
        <v>7</v>
      </c>
      <c r="M41" s="2">
        <f>4+1</f>
        <v>5</v>
      </c>
      <c r="N41" s="2">
        <f>4+2</f>
        <v>6</v>
      </c>
      <c r="O41" s="2">
        <f>4+1</f>
        <v>5</v>
      </c>
      <c r="P41" s="2">
        <v>3</v>
      </c>
      <c r="Q41" s="2">
        <f>1+2</f>
        <v>3</v>
      </c>
      <c r="R41" s="2">
        <f>1+2</f>
        <v>3</v>
      </c>
      <c r="S41" s="2">
        <v>4</v>
      </c>
      <c r="T41" s="2">
        <v>2</v>
      </c>
      <c r="U41" s="2">
        <v>3</v>
      </c>
      <c r="V41" s="2">
        <v>0</v>
      </c>
      <c r="W41" s="2">
        <v>1</v>
      </c>
      <c r="X41" s="2">
        <v>1</v>
      </c>
      <c r="Y41" s="2">
        <v>1</v>
      </c>
      <c r="Z41" s="2">
        <v>1</v>
      </c>
      <c r="AA41" s="2">
        <v>0</v>
      </c>
      <c r="AB41" s="2">
        <v>1</v>
      </c>
    </row>
    <row r="42" spans="1:28" x14ac:dyDescent="0.55000000000000004">
      <c r="A42" s="23" t="s">
        <v>67</v>
      </c>
      <c r="B42" s="15">
        <f>16+452+307+114</f>
        <v>889</v>
      </c>
      <c r="C42" s="15">
        <f>7+446+324+109</f>
        <v>886</v>
      </c>
      <c r="D42" s="15">
        <f>10+429+340+126</f>
        <v>905</v>
      </c>
      <c r="E42" s="15">
        <f>10+447+327+124</f>
        <v>908</v>
      </c>
      <c r="F42" s="15">
        <v>714</v>
      </c>
      <c r="G42" s="15">
        <v>892</v>
      </c>
      <c r="H42" s="15">
        <v>814</v>
      </c>
      <c r="I42" s="15">
        <v>889</v>
      </c>
      <c r="J42" s="16">
        <v>862</v>
      </c>
      <c r="K42" s="15">
        <f>SUM(K5+K6+K9+K7+K8+K11+K12+K17+K18+K19+K20+K21+K22+K23+K27+K31+K32+K33+K34+K35+K36+K37+K38+K30+K39+K40+K41+K24)</f>
        <v>894</v>
      </c>
      <c r="L42" s="15">
        <f>SUM(L5+L6+L9+L7+L8+L11+L12+L17+L18+L19+L20+L21+L22+L23+L27+L31+L32+L33+L34+L35+L36+L37+L38+L30+L39+L40+L41+L24)</f>
        <v>818</v>
      </c>
      <c r="M42" s="15">
        <f t="shared" ref="M42:AB42" si="0">SUM(M5:M41)</f>
        <v>949</v>
      </c>
      <c r="N42" s="15">
        <f t="shared" si="0"/>
        <v>931</v>
      </c>
      <c r="O42" s="15">
        <f t="shared" si="0"/>
        <v>958</v>
      </c>
      <c r="P42" s="15">
        <f t="shared" si="0"/>
        <v>1007</v>
      </c>
      <c r="Q42" s="15">
        <f t="shared" si="0"/>
        <v>1071</v>
      </c>
      <c r="R42" s="15">
        <f t="shared" si="0"/>
        <v>1094</v>
      </c>
      <c r="S42" s="15">
        <f t="shared" si="0"/>
        <v>1132</v>
      </c>
      <c r="T42" s="15">
        <f t="shared" si="0"/>
        <v>1176</v>
      </c>
      <c r="U42" s="15">
        <f t="shared" si="0"/>
        <v>1173</v>
      </c>
      <c r="V42" s="15">
        <f t="shared" si="0"/>
        <v>1237</v>
      </c>
      <c r="W42" s="15">
        <f t="shared" si="0"/>
        <v>1134</v>
      </c>
      <c r="X42" s="15">
        <f t="shared" si="0"/>
        <v>1099</v>
      </c>
      <c r="Y42" s="15">
        <f t="shared" si="0"/>
        <v>1088</v>
      </c>
      <c r="Z42" s="15">
        <f t="shared" si="0"/>
        <v>1197</v>
      </c>
      <c r="AA42" s="15">
        <f t="shared" si="0"/>
        <v>1077</v>
      </c>
      <c r="AB42" s="15">
        <f t="shared" si="0"/>
        <v>951</v>
      </c>
    </row>
    <row r="43" spans="1:28" x14ac:dyDescent="0.55000000000000004">
      <c r="A43" s="20" t="s">
        <v>68</v>
      </c>
      <c r="E43" s="5"/>
      <c r="F43" s="6"/>
      <c r="N43" s="2"/>
      <c r="R43" s="7"/>
      <c r="X43" s="2"/>
    </row>
    <row r="44" spans="1:28" x14ac:dyDescent="0.55000000000000004">
      <c r="A44" s="1" t="s">
        <v>69</v>
      </c>
      <c r="B44" s="2">
        <v>3</v>
      </c>
      <c r="C44" s="2">
        <v>3</v>
      </c>
      <c r="D44" s="2">
        <v>6</v>
      </c>
      <c r="E44" s="2">
        <v>10</v>
      </c>
      <c r="F44" s="2">
        <v>11</v>
      </c>
      <c r="G44" s="2">
        <v>14</v>
      </c>
      <c r="H44" s="2">
        <v>15</v>
      </c>
      <c r="I44" s="2">
        <v>18</v>
      </c>
      <c r="J44" s="2">
        <v>11</v>
      </c>
      <c r="K44" s="2">
        <v>28</v>
      </c>
      <c r="L44" s="2">
        <v>11</v>
      </c>
      <c r="M44" s="2">
        <v>11</v>
      </c>
      <c r="N44" s="2">
        <v>24</v>
      </c>
      <c r="O44" s="2">
        <v>22</v>
      </c>
      <c r="P44" s="2">
        <v>27</v>
      </c>
      <c r="Q44" s="2">
        <v>30</v>
      </c>
      <c r="R44" s="2">
        <v>46</v>
      </c>
      <c r="S44" s="2">
        <v>24</v>
      </c>
      <c r="T44" s="2">
        <v>28</v>
      </c>
      <c r="U44" s="2">
        <v>27</v>
      </c>
      <c r="V44" s="2">
        <v>16</v>
      </c>
      <c r="W44" s="2">
        <v>25</v>
      </c>
      <c r="X44" s="2">
        <v>18</v>
      </c>
      <c r="Y44" s="2">
        <v>24</v>
      </c>
      <c r="Z44" s="2">
        <v>28</v>
      </c>
      <c r="AA44" s="2">
        <v>23</v>
      </c>
      <c r="AB44" s="2">
        <v>16</v>
      </c>
    </row>
    <row r="45" spans="1:28" x14ac:dyDescent="0.55000000000000004">
      <c r="A45" s="1" t="s">
        <v>70</v>
      </c>
      <c r="B45" s="2">
        <v>60</v>
      </c>
      <c r="C45" s="2">
        <v>52</v>
      </c>
      <c r="D45" s="2">
        <v>61</v>
      </c>
      <c r="E45" s="2">
        <v>52</v>
      </c>
      <c r="F45" s="2">
        <v>60</v>
      </c>
      <c r="G45" s="2">
        <f>61+2</f>
        <v>63</v>
      </c>
      <c r="H45" s="2">
        <f>60+2</f>
        <v>62</v>
      </c>
      <c r="I45" s="2">
        <f>64+1</f>
        <v>65</v>
      </c>
      <c r="J45" s="2">
        <v>89</v>
      </c>
      <c r="K45" s="2">
        <v>67</v>
      </c>
      <c r="L45" s="2">
        <v>66</v>
      </c>
      <c r="M45" s="2">
        <v>79</v>
      </c>
      <c r="N45" s="2">
        <v>88</v>
      </c>
      <c r="O45" s="2">
        <v>98</v>
      </c>
      <c r="P45" s="2">
        <v>96</v>
      </c>
      <c r="Q45" s="2">
        <v>110</v>
      </c>
      <c r="R45" s="2">
        <f>116+1+1</f>
        <v>118</v>
      </c>
      <c r="S45" s="2">
        <v>129</v>
      </c>
      <c r="T45" s="2">
        <v>147</v>
      </c>
      <c r="U45" s="2">
        <v>157</v>
      </c>
      <c r="V45" s="2">
        <v>198</v>
      </c>
      <c r="W45" s="2">
        <v>195</v>
      </c>
      <c r="X45" s="2">
        <v>183</v>
      </c>
      <c r="Y45" s="2">
        <v>180</v>
      </c>
      <c r="Z45" s="2">
        <v>193</v>
      </c>
      <c r="AA45" s="2">
        <v>222</v>
      </c>
      <c r="AB45" s="2">
        <v>206</v>
      </c>
    </row>
    <row r="46" spans="1:28" x14ac:dyDescent="0.55000000000000004">
      <c r="A46" s="1" t="s">
        <v>71</v>
      </c>
      <c r="B46" s="2">
        <v>9</v>
      </c>
      <c r="C46" s="2">
        <v>19</v>
      </c>
      <c r="D46" s="2">
        <v>7</v>
      </c>
      <c r="E46" s="2">
        <v>7</v>
      </c>
      <c r="F46" s="2">
        <v>6</v>
      </c>
      <c r="G46" s="2">
        <v>5</v>
      </c>
      <c r="H46" s="2">
        <v>9</v>
      </c>
      <c r="I46" s="2">
        <v>9</v>
      </c>
      <c r="J46" s="2">
        <v>7</v>
      </c>
      <c r="K46" s="2">
        <v>3</v>
      </c>
      <c r="L46" s="2">
        <v>7</v>
      </c>
      <c r="M46" s="2">
        <v>8</v>
      </c>
      <c r="N46" s="2">
        <v>3</v>
      </c>
      <c r="O46" s="2">
        <v>7</v>
      </c>
      <c r="P46" s="2">
        <v>8</v>
      </c>
      <c r="Q46" s="2">
        <v>8</v>
      </c>
      <c r="R46" s="2">
        <v>8</v>
      </c>
      <c r="S46" s="2">
        <v>19</v>
      </c>
      <c r="T46" s="2">
        <v>8</v>
      </c>
      <c r="U46" s="2">
        <v>17</v>
      </c>
      <c r="V46" s="2">
        <v>11</v>
      </c>
      <c r="W46" s="2">
        <v>13</v>
      </c>
      <c r="X46" s="2">
        <v>15</v>
      </c>
      <c r="Y46" s="2">
        <v>8</v>
      </c>
      <c r="Z46" s="2">
        <v>13</v>
      </c>
      <c r="AA46" s="2">
        <v>4</v>
      </c>
      <c r="AB46" s="2">
        <v>6</v>
      </c>
    </row>
    <row r="47" spans="1:28" x14ac:dyDescent="0.55000000000000004">
      <c r="A47" s="1" t="s">
        <v>72</v>
      </c>
      <c r="N47" s="2"/>
      <c r="Q47" s="2"/>
      <c r="R47" s="2"/>
      <c r="S47" s="2"/>
      <c r="W47" s="2">
        <v>1</v>
      </c>
      <c r="X47" s="2">
        <v>6</v>
      </c>
      <c r="Y47" s="2">
        <v>2</v>
      </c>
      <c r="Z47" s="2">
        <v>5</v>
      </c>
      <c r="AA47" s="2">
        <v>8</v>
      </c>
      <c r="AB47" s="2">
        <v>9</v>
      </c>
    </row>
    <row r="48" spans="1:28" x14ac:dyDescent="0.55000000000000004">
      <c r="A48" s="1" t="s">
        <v>73</v>
      </c>
      <c r="B48" s="2">
        <v>19</v>
      </c>
      <c r="C48" s="2">
        <v>24</v>
      </c>
      <c r="D48" s="2">
        <v>29</v>
      </c>
      <c r="E48" s="2">
        <v>34</v>
      </c>
      <c r="F48" s="2">
        <v>36</v>
      </c>
      <c r="G48" s="2">
        <f>52+1</f>
        <v>53</v>
      </c>
      <c r="H48" s="2">
        <f>46+3</f>
        <v>49</v>
      </c>
      <c r="I48" s="2">
        <f>36+3</f>
        <v>39</v>
      </c>
      <c r="J48" s="2">
        <v>48</v>
      </c>
      <c r="K48" s="2">
        <f>14+13</f>
        <v>27</v>
      </c>
      <c r="L48" s="2">
        <v>13</v>
      </c>
      <c r="M48" s="2">
        <f>5+14</f>
        <v>19</v>
      </c>
      <c r="N48" s="2">
        <f>8+18</f>
        <v>26</v>
      </c>
      <c r="O48" s="2">
        <f>3+14+1</f>
        <v>18</v>
      </c>
      <c r="P48" s="2">
        <v>13</v>
      </c>
      <c r="Q48" s="2">
        <f>4+16</f>
        <v>20</v>
      </c>
      <c r="R48" s="2">
        <v>30</v>
      </c>
      <c r="S48" s="2">
        <v>23</v>
      </c>
      <c r="T48" s="2">
        <v>33</v>
      </c>
      <c r="U48" s="2">
        <v>33</v>
      </c>
      <c r="V48" s="2">
        <v>37</v>
      </c>
      <c r="W48" s="2">
        <v>43</v>
      </c>
      <c r="X48" s="2">
        <v>56</v>
      </c>
      <c r="Y48" s="2">
        <v>71</v>
      </c>
      <c r="Z48" s="2">
        <v>75</v>
      </c>
      <c r="AA48" s="2">
        <v>71</v>
      </c>
      <c r="AB48" s="2">
        <v>75</v>
      </c>
    </row>
    <row r="49" spans="1:28" x14ac:dyDescent="0.55000000000000004">
      <c r="A49" s="1" t="s">
        <v>74</v>
      </c>
      <c r="B49" s="2">
        <v>2</v>
      </c>
      <c r="C49" s="2">
        <v>1</v>
      </c>
      <c r="D49" s="2">
        <v>2</v>
      </c>
      <c r="E49" s="2">
        <v>1</v>
      </c>
      <c r="F49" s="2">
        <v>0</v>
      </c>
      <c r="G49" s="2">
        <v>1</v>
      </c>
      <c r="H49" s="2">
        <v>1</v>
      </c>
      <c r="I49" s="2">
        <v>0</v>
      </c>
      <c r="J49" s="2">
        <v>1</v>
      </c>
      <c r="K49" s="2">
        <v>0</v>
      </c>
      <c r="L49" s="2">
        <v>0</v>
      </c>
      <c r="M49" s="2">
        <v>1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1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3</v>
      </c>
      <c r="AB49" s="2">
        <v>3</v>
      </c>
    </row>
    <row r="50" spans="1:28" x14ac:dyDescent="0.55000000000000004">
      <c r="A50" s="1" t="s">
        <v>75</v>
      </c>
      <c r="N50" s="2"/>
      <c r="Q50" s="2"/>
      <c r="R50" s="2"/>
      <c r="S50" s="2"/>
      <c r="U50" s="2">
        <v>8</v>
      </c>
      <c r="V50" s="2">
        <v>8</v>
      </c>
      <c r="W50" s="2">
        <v>9</v>
      </c>
      <c r="X50" s="2">
        <v>16</v>
      </c>
      <c r="Y50" s="2">
        <v>26</v>
      </c>
      <c r="Z50" s="2">
        <v>14</v>
      </c>
      <c r="AA50" s="2">
        <v>30</v>
      </c>
      <c r="AB50" s="2">
        <v>24</v>
      </c>
    </row>
    <row r="51" spans="1:28" x14ac:dyDescent="0.55000000000000004">
      <c r="A51" s="1" t="s">
        <v>76</v>
      </c>
      <c r="L51" s="2">
        <v>0</v>
      </c>
      <c r="M51" s="2">
        <v>0</v>
      </c>
      <c r="N51" s="2">
        <v>0</v>
      </c>
      <c r="O51" s="2">
        <v>0</v>
      </c>
      <c r="P51" s="2">
        <v>3</v>
      </c>
      <c r="Q51" s="2">
        <f>22</f>
        <v>22</v>
      </c>
      <c r="R51" s="2">
        <v>24</v>
      </c>
      <c r="S51" s="2">
        <v>26</v>
      </c>
      <c r="T51" s="2">
        <v>54</v>
      </c>
      <c r="U51" s="2">
        <v>61</v>
      </c>
      <c r="V51" s="2">
        <v>66</v>
      </c>
      <c r="W51" s="2">
        <v>72</v>
      </c>
      <c r="X51" s="2">
        <v>93</v>
      </c>
      <c r="Y51" s="2">
        <v>114</v>
      </c>
      <c r="Z51" s="2">
        <v>108</v>
      </c>
      <c r="AA51" s="2">
        <v>103</v>
      </c>
      <c r="AB51" s="2">
        <v>88</v>
      </c>
    </row>
    <row r="52" spans="1:28" x14ac:dyDescent="0.55000000000000004">
      <c r="A52" s="1" t="s">
        <v>77</v>
      </c>
      <c r="B52" s="2">
        <v>10</v>
      </c>
      <c r="C52" s="2">
        <v>6</v>
      </c>
      <c r="D52" s="2">
        <v>12</v>
      </c>
      <c r="E52" s="2">
        <v>5</v>
      </c>
      <c r="F52" s="2">
        <v>6</v>
      </c>
      <c r="G52" s="2">
        <v>2</v>
      </c>
      <c r="H52" s="2">
        <v>8</v>
      </c>
      <c r="I52" s="2">
        <f>5+1</f>
        <v>6</v>
      </c>
      <c r="J52" s="2">
        <v>7</v>
      </c>
      <c r="K52" s="2">
        <f>2+8</f>
        <v>10</v>
      </c>
      <c r="L52" s="2">
        <f>6+2</f>
        <v>8</v>
      </c>
      <c r="M52" s="2">
        <f>1+5</f>
        <v>6</v>
      </c>
      <c r="N52" s="2">
        <f>4+5</f>
        <v>9</v>
      </c>
      <c r="O52" s="2">
        <f>3+9+2</f>
        <v>14</v>
      </c>
      <c r="P52" s="2">
        <v>3</v>
      </c>
      <c r="Q52" s="2">
        <f>2+9</f>
        <v>11</v>
      </c>
      <c r="R52" s="2">
        <f>12+1</f>
        <v>13</v>
      </c>
      <c r="S52" s="2">
        <v>15</v>
      </c>
      <c r="T52" s="2">
        <v>15</v>
      </c>
      <c r="U52" s="2">
        <v>20</v>
      </c>
      <c r="V52" s="2">
        <v>13</v>
      </c>
      <c r="W52" s="2">
        <v>17</v>
      </c>
      <c r="X52" s="2">
        <v>18</v>
      </c>
      <c r="Y52" s="2">
        <v>30</v>
      </c>
      <c r="Z52" s="2">
        <v>26</v>
      </c>
      <c r="AA52" s="2">
        <v>26</v>
      </c>
      <c r="AB52" s="2">
        <v>22</v>
      </c>
    </row>
    <row r="53" spans="1:28" x14ac:dyDescent="0.55000000000000004">
      <c r="A53" s="1" t="s">
        <v>78</v>
      </c>
      <c r="B53" s="2">
        <v>7</v>
      </c>
      <c r="C53" s="2">
        <v>4</v>
      </c>
      <c r="D53" s="2">
        <v>5</v>
      </c>
      <c r="E53" s="2">
        <v>4</v>
      </c>
      <c r="F53" s="2">
        <v>3</v>
      </c>
      <c r="G53" s="2">
        <v>2</v>
      </c>
      <c r="H53" s="2">
        <v>0</v>
      </c>
      <c r="I53" s="2">
        <f>3+1</f>
        <v>4</v>
      </c>
      <c r="J53" s="2">
        <v>4</v>
      </c>
      <c r="K53" s="2">
        <v>5</v>
      </c>
      <c r="L53" s="2">
        <f>6+1</f>
        <v>7</v>
      </c>
      <c r="M53" s="2">
        <v>4</v>
      </c>
      <c r="N53" s="2">
        <v>2</v>
      </c>
      <c r="O53" s="2">
        <f>3+1</f>
        <v>4</v>
      </c>
      <c r="P53" s="2">
        <v>6</v>
      </c>
      <c r="Q53" s="2">
        <v>3</v>
      </c>
      <c r="R53" s="2">
        <v>11</v>
      </c>
      <c r="S53" s="2">
        <v>5</v>
      </c>
      <c r="T53" s="2">
        <v>12</v>
      </c>
      <c r="U53" s="2">
        <v>8</v>
      </c>
      <c r="V53" s="2">
        <v>6</v>
      </c>
      <c r="W53" s="2">
        <v>7</v>
      </c>
      <c r="X53" s="2">
        <v>10</v>
      </c>
      <c r="Y53" s="2">
        <v>13</v>
      </c>
      <c r="Z53" s="2">
        <v>7</v>
      </c>
      <c r="AA53" s="2">
        <v>12</v>
      </c>
      <c r="AB53" s="2">
        <v>6</v>
      </c>
    </row>
    <row r="54" spans="1:28" x14ac:dyDescent="0.55000000000000004">
      <c r="A54" s="1" t="s">
        <v>66</v>
      </c>
      <c r="N54" s="2"/>
      <c r="Q54" s="2"/>
      <c r="R54" s="2"/>
      <c r="S54" s="2"/>
      <c r="X54" s="2"/>
      <c r="Z54" s="2"/>
      <c r="AA54" s="2">
        <v>1</v>
      </c>
      <c r="AB54" s="2">
        <v>0</v>
      </c>
    </row>
    <row r="55" spans="1:28" x14ac:dyDescent="0.55000000000000004">
      <c r="A55" s="23" t="s">
        <v>79</v>
      </c>
      <c r="B55" s="8">
        <f>SUM(N20:N34)</f>
        <v>212</v>
      </c>
      <c r="C55" s="8">
        <f>SUM(O20:O34)</f>
        <v>213</v>
      </c>
      <c r="D55" s="8">
        <f>SUM(P20:P34)</f>
        <v>205</v>
      </c>
      <c r="E55" s="8">
        <f>SUM(Q20:Q34)</f>
        <v>224</v>
      </c>
      <c r="F55" s="8">
        <f>SUM(R20:R33)</f>
        <v>147</v>
      </c>
      <c r="G55" s="8" t="e">
        <f>G44+G45+#REF!+G46+G48+G94+G49+G52+G53</f>
        <v>#REF!</v>
      </c>
      <c r="H55" s="8" t="e">
        <f>H44+H45+#REF!+H46+H48+H94+H49+H52+H53</f>
        <v>#REF!</v>
      </c>
      <c r="I55" s="8" t="e">
        <f>I44+I45+#REF!+I46+I48+I94+I49+I52+I53</f>
        <v>#REF!</v>
      </c>
      <c r="J55" s="8" t="e">
        <f>J44+J45+#REF!+J46+J48+J94+J49+J52+J53</f>
        <v>#REF!</v>
      </c>
      <c r="K55" s="8" t="e">
        <f>K44+K45+#REF!+K46+K48+K94+K49+K52+K53+#REF!</f>
        <v>#REF!</v>
      </c>
      <c r="L55" s="8">
        <f t="shared" ref="L55:T55" si="1">L44+L45+L46+L48+L94+L49+L52+L53+L51</f>
        <v>134</v>
      </c>
      <c r="M55" s="8">
        <f t="shared" si="1"/>
        <v>151</v>
      </c>
      <c r="N55" s="8">
        <f t="shared" si="1"/>
        <v>171</v>
      </c>
      <c r="O55" s="8">
        <f t="shared" si="1"/>
        <v>189</v>
      </c>
      <c r="P55" s="8">
        <f t="shared" si="1"/>
        <v>189</v>
      </c>
      <c r="Q55" s="8">
        <f t="shared" si="1"/>
        <v>235</v>
      </c>
      <c r="R55" s="8">
        <f t="shared" si="1"/>
        <v>291</v>
      </c>
      <c r="S55" s="8">
        <f t="shared" si="1"/>
        <v>290</v>
      </c>
      <c r="T55" s="8">
        <f t="shared" si="1"/>
        <v>335</v>
      </c>
      <c r="U55" s="8">
        <f>U44+U45+U46+U48+U94+U49+U50+U52+U53+U51</f>
        <v>377</v>
      </c>
      <c r="V55" s="8">
        <f>SUM(V44:V53)</f>
        <v>355</v>
      </c>
      <c r="W55" s="8">
        <f>SUM(W44:W53)</f>
        <v>382</v>
      </c>
      <c r="X55" s="8">
        <f>SUM(X44:X53)</f>
        <v>415</v>
      </c>
      <c r="Y55" s="8">
        <f>SUM(Y44:Y53)</f>
        <v>468</v>
      </c>
      <c r="Z55" s="8">
        <f>SUM(Z44:Z53)</f>
        <v>469</v>
      </c>
      <c r="AA55" s="8">
        <f>SUM(AA44:AA54)</f>
        <v>503</v>
      </c>
      <c r="AB55" s="8">
        <f>SUM(AB44:AB54)</f>
        <v>455</v>
      </c>
    </row>
    <row r="56" spans="1:28" x14ac:dyDescent="0.55000000000000004">
      <c r="A56" s="20" t="s">
        <v>80</v>
      </c>
      <c r="N56" s="2"/>
      <c r="Q56" s="2"/>
      <c r="R56" s="2"/>
      <c r="S56" s="2"/>
      <c r="X56" s="2"/>
    </row>
    <row r="57" spans="1:28" x14ac:dyDescent="0.55000000000000004">
      <c r="A57" s="1" t="s">
        <v>81</v>
      </c>
      <c r="B57" s="2">
        <v>128</v>
      </c>
      <c r="C57" s="2">
        <v>113</v>
      </c>
      <c r="D57" s="2">
        <v>98</v>
      </c>
      <c r="E57" s="2">
        <v>89</v>
      </c>
      <c r="F57" s="2">
        <v>106</v>
      </c>
      <c r="G57" s="2">
        <v>90</v>
      </c>
      <c r="H57" s="2">
        <v>81</v>
      </c>
      <c r="I57" s="2">
        <v>76</v>
      </c>
      <c r="J57" s="2">
        <v>101</v>
      </c>
      <c r="K57" s="2">
        <v>129</v>
      </c>
      <c r="L57" s="2">
        <v>124</v>
      </c>
      <c r="M57" s="2">
        <v>128</v>
      </c>
      <c r="N57" s="2">
        <v>141</v>
      </c>
      <c r="O57" s="2">
        <v>151</v>
      </c>
      <c r="P57" s="2">
        <v>159</v>
      </c>
      <c r="Q57" s="2">
        <v>172</v>
      </c>
      <c r="R57" s="2">
        <v>175</v>
      </c>
      <c r="S57" s="2">
        <v>191</v>
      </c>
      <c r="T57" s="2">
        <v>167</v>
      </c>
      <c r="U57" s="2">
        <v>157</v>
      </c>
      <c r="V57" s="2">
        <v>148</v>
      </c>
      <c r="W57" s="2">
        <v>116</v>
      </c>
      <c r="X57" s="2">
        <v>138</v>
      </c>
      <c r="Y57" s="2">
        <v>151</v>
      </c>
      <c r="Z57" s="2">
        <v>176</v>
      </c>
      <c r="AA57" s="2">
        <v>228</v>
      </c>
      <c r="AB57" s="2">
        <v>186</v>
      </c>
    </row>
    <row r="58" spans="1:28" x14ac:dyDescent="0.55000000000000004">
      <c r="A58" s="1" t="s">
        <v>82</v>
      </c>
      <c r="K58" s="2">
        <v>0</v>
      </c>
      <c r="L58" s="2">
        <v>0</v>
      </c>
      <c r="M58" s="2">
        <v>0</v>
      </c>
      <c r="N58" s="2">
        <v>0</v>
      </c>
      <c r="O58" s="2">
        <v>24</v>
      </c>
      <c r="P58" s="2">
        <v>30</v>
      </c>
      <c r="Q58" s="2">
        <v>27</v>
      </c>
      <c r="R58" s="2">
        <v>26</v>
      </c>
      <c r="S58" s="2">
        <v>31</v>
      </c>
      <c r="T58" s="2">
        <v>27</v>
      </c>
      <c r="U58" s="2">
        <v>26</v>
      </c>
      <c r="V58" s="2">
        <v>50</v>
      </c>
      <c r="W58" s="2">
        <v>34</v>
      </c>
      <c r="X58" s="2">
        <v>31</v>
      </c>
      <c r="Y58" s="2">
        <v>27</v>
      </c>
      <c r="Z58" s="2">
        <v>82</v>
      </c>
      <c r="AA58" s="2">
        <v>161</v>
      </c>
      <c r="AB58" s="2">
        <v>146</v>
      </c>
    </row>
    <row r="59" spans="1:28" x14ac:dyDescent="0.55000000000000004">
      <c r="A59" s="24" t="s">
        <v>83</v>
      </c>
      <c r="B59" s="4">
        <v>82</v>
      </c>
      <c r="C59" s="4">
        <v>82</v>
      </c>
      <c r="D59" s="4">
        <v>78</v>
      </c>
      <c r="E59" s="4">
        <v>93</v>
      </c>
      <c r="F59" s="4">
        <v>63</v>
      </c>
      <c r="G59" s="4">
        <v>60</v>
      </c>
      <c r="H59" s="4">
        <v>59</v>
      </c>
      <c r="I59" s="4">
        <v>35</v>
      </c>
      <c r="J59" s="4">
        <v>22</v>
      </c>
      <c r="K59" s="4">
        <v>17</v>
      </c>
      <c r="L59" s="4">
        <v>40</v>
      </c>
      <c r="M59" s="4">
        <v>53</v>
      </c>
      <c r="N59" s="4">
        <v>80</v>
      </c>
      <c r="O59" s="4">
        <v>93</v>
      </c>
      <c r="P59" s="4">
        <v>143</v>
      </c>
      <c r="Q59" s="4">
        <v>159</v>
      </c>
      <c r="R59" s="4">
        <v>216</v>
      </c>
      <c r="S59" s="4">
        <v>205</v>
      </c>
      <c r="T59" s="4">
        <v>222</v>
      </c>
      <c r="U59" s="4">
        <v>205</v>
      </c>
      <c r="V59" s="4">
        <v>167</v>
      </c>
      <c r="W59" s="4">
        <v>142</v>
      </c>
      <c r="X59" s="4">
        <v>117</v>
      </c>
      <c r="Y59" s="4">
        <v>96</v>
      </c>
      <c r="Z59" s="4">
        <v>102</v>
      </c>
      <c r="AA59" s="4">
        <v>94</v>
      </c>
      <c r="AB59" s="4">
        <v>40</v>
      </c>
    </row>
    <row r="60" spans="1:28" x14ac:dyDescent="0.55000000000000004">
      <c r="A60" s="21" t="s">
        <v>84</v>
      </c>
      <c r="B60" s="9">
        <f>SUM(B57:B59)</f>
        <v>210</v>
      </c>
      <c r="C60" s="9">
        <v>195</v>
      </c>
      <c r="D60" s="9">
        <v>176</v>
      </c>
      <c r="E60" s="9">
        <v>182</v>
      </c>
      <c r="F60" s="9">
        <f t="shared" ref="F60:R60" si="2">SUM(F57:F59)</f>
        <v>169</v>
      </c>
      <c r="G60" s="9">
        <f t="shared" si="2"/>
        <v>150</v>
      </c>
      <c r="H60" s="9">
        <f t="shared" si="2"/>
        <v>140</v>
      </c>
      <c r="I60" s="9">
        <f t="shared" si="2"/>
        <v>111</v>
      </c>
      <c r="J60" s="9">
        <f t="shared" si="2"/>
        <v>123</v>
      </c>
      <c r="K60" s="10">
        <f t="shared" si="2"/>
        <v>146</v>
      </c>
      <c r="L60" s="9">
        <f t="shared" si="2"/>
        <v>164</v>
      </c>
      <c r="M60" s="9">
        <f t="shared" si="2"/>
        <v>181</v>
      </c>
      <c r="N60" s="9">
        <f t="shared" si="2"/>
        <v>221</v>
      </c>
      <c r="O60" s="9">
        <f t="shared" si="2"/>
        <v>268</v>
      </c>
      <c r="P60" s="9">
        <f t="shared" si="2"/>
        <v>332</v>
      </c>
      <c r="Q60" s="9">
        <f t="shared" si="2"/>
        <v>358</v>
      </c>
      <c r="R60" s="9">
        <f t="shared" si="2"/>
        <v>417</v>
      </c>
      <c r="S60" s="9">
        <f t="shared" ref="S60:Y60" si="3">SUM(S57:S59)</f>
        <v>427</v>
      </c>
      <c r="T60" s="9">
        <f t="shared" si="3"/>
        <v>416</v>
      </c>
      <c r="U60" s="9">
        <f t="shared" si="3"/>
        <v>388</v>
      </c>
      <c r="V60" s="9">
        <f t="shared" si="3"/>
        <v>365</v>
      </c>
      <c r="W60" s="9">
        <f t="shared" si="3"/>
        <v>292</v>
      </c>
      <c r="X60" s="9">
        <f t="shared" si="3"/>
        <v>286</v>
      </c>
      <c r="Y60" s="9">
        <f t="shared" si="3"/>
        <v>274</v>
      </c>
      <c r="Z60" s="5">
        <f>SUM(Z57:Z59)</f>
        <v>360</v>
      </c>
      <c r="AA60" s="5">
        <f>SUM(AA57:AA59)</f>
        <v>483</v>
      </c>
      <c r="AB60" s="5">
        <f>SUM(AB57:AB59)</f>
        <v>372</v>
      </c>
    </row>
    <row r="61" spans="1:28" x14ac:dyDescent="0.55000000000000004">
      <c r="A61" s="20" t="s">
        <v>85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Q61" s="2"/>
      <c r="R61" s="2"/>
      <c r="S61" s="2"/>
      <c r="X61" s="2"/>
    </row>
    <row r="62" spans="1:28" x14ac:dyDescent="0.55000000000000004">
      <c r="A62" s="1" t="s">
        <v>86</v>
      </c>
      <c r="B62" s="2">
        <v>39</v>
      </c>
      <c r="C62" s="2">
        <v>47</v>
      </c>
      <c r="D62" s="2">
        <v>45</v>
      </c>
      <c r="E62" s="2">
        <v>49</v>
      </c>
      <c r="F62" s="2">
        <v>37</v>
      </c>
      <c r="G62" s="2">
        <v>2</v>
      </c>
      <c r="H62" s="2">
        <v>1</v>
      </c>
      <c r="I62" s="2">
        <v>0</v>
      </c>
      <c r="J62" s="2">
        <v>0</v>
      </c>
      <c r="K62" s="2">
        <v>0</v>
      </c>
      <c r="L62" s="2">
        <v>0</v>
      </c>
      <c r="M62" s="2">
        <v>13</v>
      </c>
      <c r="N62" s="2">
        <v>54</v>
      </c>
      <c r="O62" s="2">
        <v>58</v>
      </c>
      <c r="P62" s="2">
        <v>85</v>
      </c>
      <c r="Q62" s="2">
        <v>85</v>
      </c>
      <c r="R62" s="2">
        <v>126</v>
      </c>
      <c r="S62" s="2">
        <v>125</v>
      </c>
      <c r="T62" s="2">
        <v>137</v>
      </c>
      <c r="U62" s="2">
        <v>133</v>
      </c>
      <c r="V62" s="2">
        <f>183+1</f>
        <v>184</v>
      </c>
      <c r="W62" s="2">
        <v>184</v>
      </c>
      <c r="X62" s="2">
        <v>147</v>
      </c>
      <c r="Y62" s="2">
        <v>145</v>
      </c>
      <c r="Z62" s="2">
        <v>131</v>
      </c>
      <c r="AA62" s="2">
        <v>157</v>
      </c>
      <c r="AB62" s="2">
        <v>147</v>
      </c>
    </row>
    <row r="63" spans="1:28" x14ac:dyDescent="0.55000000000000004">
      <c r="A63" s="25" t="s">
        <v>87</v>
      </c>
      <c r="B63" s="8"/>
      <c r="C63" s="8"/>
      <c r="D63" s="11"/>
      <c r="E63" s="11"/>
      <c r="F63" s="4"/>
      <c r="G63" s="11"/>
      <c r="H63" s="11"/>
      <c r="I63" s="11"/>
      <c r="J63" s="11"/>
      <c r="K63" s="4" t="e">
        <f>K62+#REF!</f>
        <v>#REF!</v>
      </c>
      <c r="L63" s="4">
        <f>L62</f>
        <v>0</v>
      </c>
      <c r="M63" s="4">
        <f>M62</f>
        <v>13</v>
      </c>
      <c r="N63" s="4">
        <f>N62</f>
        <v>54</v>
      </c>
      <c r="O63" s="4">
        <f t="shared" ref="O63:AB63" si="4">O62</f>
        <v>58</v>
      </c>
      <c r="P63" s="4">
        <f t="shared" si="4"/>
        <v>85</v>
      </c>
      <c r="Q63" s="4">
        <f t="shared" si="4"/>
        <v>85</v>
      </c>
      <c r="R63" s="4">
        <f t="shared" si="4"/>
        <v>126</v>
      </c>
      <c r="S63" s="4">
        <f t="shared" si="4"/>
        <v>125</v>
      </c>
      <c r="T63" s="4">
        <f t="shared" si="4"/>
        <v>137</v>
      </c>
      <c r="U63" s="4">
        <f t="shared" si="4"/>
        <v>133</v>
      </c>
      <c r="V63" s="4">
        <f t="shared" si="4"/>
        <v>184</v>
      </c>
      <c r="W63" s="4">
        <f t="shared" si="4"/>
        <v>184</v>
      </c>
      <c r="X63" s="4">
        <f t="shared" si="4"/>
        <v>147</v>
      </c>
      <c r="Y63" s="4">
        <f t="shared" si="4"/>
        <v>145</v>
      </c>
      <c r="Z63" s="4">
        <f t="shared" si="4"/>
        <v>131</v>
      </c>
      <c r="AA63" s="4">
        <f t="shared" si="4"/>
        <v>157</v>
      </c>
      <c r="AB63" s="4">
        <f t="shared" si="4"/>
        <v>147</v>
      </c>
    </row>
    <row r="64" spans="1:28" x14ac:dyDescent="0.55000000000000004">
      <c r="A64" s="19" t="s">
        <v>88</v>
      </c>
      <c r="B64" s="9">
        <v>249</v>
      </c>
      <c r="C64" s="9">
        <v>242</v>
      </c>
      <c r="D64" s="9">
        <v>221</v>
      </c>
      <c r="E64" s="9">
        <v>231</v>
      </c>
      <c r="F64" s="9">
        <f t="shared" ref="F64:S64" si="5">SUM(F60:F62)</f>
        <v>206</v>
      </c>
      <c r="G64" s="9">
        <f t="shared" si="5"/>
        <v>152</v>
      </c>
      <c r="H64" s="9">
        <f t="shared" si="5"/>
        <v>141</v>
      </c>
      <c r="I64" s="9">
        <f t="shared" si="5"/>
        <v>111</v>
      </c>
      <c r="J64" s="9">
        <f t="shared" si="5"/>
        <v>123</v>
      </c>
      <c r="K64" s="9">
        <f t="shared" si="5"/>
        <v>146</v>
      </c>
      <c r="L64" s="9">
        <f t="shared" si="5"/>
        <v>164</v>
      </c>
      <c r="M64" s="9">
        <f t="shared" si="5"/>
        <v>194</v>
      </c>
      <c r="N64" s="9">
        <f t="shared" si="5"/>
        <v>275</v>
      </c>
      <c r="O64" s="9">
        <f t="shared" si="5"/>
        <v>326</v>
      </c>
      <c r="P64" s="9">
        <f t="shared" si="5"/>
        <v>417</v>
      </c>
      <c r="Q64" s="9">
        <f t="shared" si="5"/>
        <v>443</v>
      </c>
      <c r="R64" s="9">
        <f t="shared" si="5"/>
        <v>543</v>
      </c>
      <c r="S64" s="9">
        <f t="shared" si="5"/>
        <v>552</v>
      </c>
      <c r="T64" s="9">
        <f t="shared" ref="T64:Y64" si="6">SUM(T60:T62)</f>
        <v>553</v>
      </c>
      <c r="U64" s="9">
        <f t="shared" si="6"/>
        <v>521</v>
      </c>
      <c r="V64" s="9">
        <f t="shared" si="6"/>
        <v>549</v>
      </c>
      <c r="W64" s="9">
        <f t="shared" si="6"/>
        <v>476</v>
      </c>
      <c r="X64" s="9">
        <f t="shared" si="6"/>
        <v>433</v>
      </c>
      <c r="Y64" s="9">
        <f t="shared" si="6"/>
        <v>419</v>
      </c>
      <c r="Z64" s="5">
        <f>SUM(Z60:Z62)</f>
        <v>491</v>
      </c>
      <c r="AA64" s="5">
        <f>SUM(AA60:AA62)</f>
        <v>640</v>
      </c>
      <c r="AB64" s="5">
        <f>SUM(AB60:AB62)</f>
        <v>519</v>
      </c>
    </row>
    <row r="65" spans="1:28" x14ac:dyDescent="0.55000000000000004">
      <c r="A65" s="20" t="s">
        <v>89</v>
      </c>
      <c r="N65" s="2"/>
      <c r="Q65" s="2"/>
      <c r="R65" s="2"/>
      <c r="S65" s="2"/>
      <c r="X65" s="2"/>
    </row>
    <row r="66" spans="1:28" x14ac:dyDescent="0.55000000000000004">
      <c r="A66" s="17" t="s">
        <v>90</v>
      </c>
      <c r="L66" s="2">
        <v>0</v>
      </c>
      <c r="M66" s="2">
        <v>66</v>
      </c>
      <c r="N66" s="2">
        <v>73</v>
      </c>
      <c r="O66" s="2">
        <v>87</v>
      </c>
      <c r="P66" s="2">
        <v>93</v>
      </c>
      <c r="Q66" s="2">
        <v>115</v>
      </c>
      <c r="R66" s="2">
        <v>116</v>
      </c>
      <c r="S66" s="2">
        <v>87</v>
      </c>
      <c r="T66" s="2">
        <v>98</v>
      </c>
      <c r="U66" s="2">
        <v>132</v>
      </c>
      <c r="V66" s="2">
        <v>112</v>
      </c>
      <c r="W66" s="2">
        <v>107</v>
      </c>
      <c r="X66" s="2">
        <v>107</v>
      </c>
      <c r="Y66" s="2">
        <v>118</v>
      </c>
      <c r="Z66" s="2">
        <v>84</v>
      </c>
      <c r="AA66" s="2">
        <v>79</v>
      </c>
      <c r="AB66" s="2">
        <v>67</v>
      </c>
    </row>
    <row r="67" spans="1:28" x14ac:dyDescent="0.55000000000000004">
      <c r="A67" s="17" t="s">
        <v>91</v>
      </c>
      <c r="L67" s="2">
        <v>0</v>
      </c>
      <c r="M67" s="2">
        <v>92</v>
      </c>
      <c r="N67" s="2">
        <v>78</v>
      </c>
      <c r="O67" s="2">
        <v>113</v>
      </c>
      <c r="P67" s="2">
        <v>109</v>
      </c>
      <c r="Q67" s="2">
        <v>93</v>
      </c>
      <c r="R67" s="2">
        <v>119</v>
      </c>
      <c r="S67" s="2">
        <v>166</v>
      </c>
      <c r="T67" s="2">
        <v>102</v>
      </c>
      <c r="U67" s="2">
        <v>151</v>
      </c>
      <c r="V67" s="2">
        <v>130</v>
      </c>
      <c r="W67" s="2">
        <v>140</v>
      </c>
      <c r="X67" s="2">
        <v>117</v>
      </c>
      <c r="Y67" s="2">
        <v>122</v>
      </c>
      <c r="Z67" s="2">
        <v>122</v>
      </c>
      <c r="AA67" s="2">
        <v>93</v>
      </c>
      <c r="AB67" s="2">
        <v>96</v>
      </c>
    </row>
    <row r="68" spans="1:28" x14ac:dyDescent="0.55000000000000004">
      <c r="A68" s="1" t="s">
        <v>120</v>
      </c>
      <c r="N68" s="2"/>
      <c r="Q68" s="2"/>
      <c r="R68" s="2"/>
      <c r="S68" s="2"/>
      <c r="V68" s="2">
        <v>9</v>
      </c>
      <c r="W68" s="2">
        <v>26</v>
      </c>
      <c r="X68" s="2">
        <v>22</v>
      </c>
      <c r="Y68" s="2">
        <v>40</v>
      </c>
      <c r="Z68" s="2">
        <v>27</v>
      </c>
      <c r="AA68" s="2">
        <v>39</v>
      </c>
      <c r="AB68" s="2">
        <v>33</v>
      </c>
    </row>
    <row r="69" spans="1:28" hidden="1" x14ac:dyDescent="0.55000000000000004">
      <c r="A69" s="22" t="s">
        <v>92</v>
      </c>
      <c r="L69" s="2">
        <v>0</v>
      </c>
      <c r="M69" s="2">
        <v>0</v>
      </c>
      <c r="N69" s="2">
        <v>0</v>
      </c>
      <c r="O69" s="2">
        <v>0</v>
      </c>
      <c r="P69" s="2">
        <v>1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31">
        <v>0</v>
      </c>
    </row>
    <row r="70" spans="1:28" x14ac:dyDescent="0.55000000000000004">
      <c r="A70" s="17" t="s">
        <v>93</v>
      </c>
      <c r="L70" s="2">
        <v>0</v>
      </c>
      <c r="M70" s="2">
        <v>5</v>
      </c>
      <c r="N70" s="2">
        <v>0</v>
      </c>
      <c r="O70" s="2">
        <v>7</v>
      </c>
      <c r="P70" s="2">
        <v>4</v>
      </c>
      <c r="Q70" s="2">
        <v>1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31">
        <v>0</v>
      </c>
      <c r="AA70" s="31">
        <v>0</v>
      </c>
      <c r="AB70" s="2">
        <v>0</v>
      </c>
    </row>
    <row r="71" spans="1:28" x14ac:dyDescent="0.55000000000000004">
      <c r="A71" s="17" t="s">
        <v>94</v>
      </c>
      <c r="L71" s="2">
        <v>0</v>
      </c>
      <c r="M71" s="2">
        <v>0</v>
      </c>
      <c r="N71" s="2">
        <v>1</v>
      </c>
      <c r="O71" s="2">
        <v>0</v>
      </c>
      <c r="P71" s="2">
        <v>3</v>
      </c>
      <c r="Q71" s="2">
        <v>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</v>
      </c>
      <c r="Z71" s="2">
        <v>0</v>
      </c>
      <c r="AA71" s="2">
        <v>0</v>
      </c>
      <c r="AB71" s="2">
        <v>0</v>
      </c>
    </row>
    <row r="72" spans="1:28" x14ac:dyDescent="0.55000000000000004">
      <c r="A72" s="17" t="s">
        <v>76</v>
      </c>
      <c r="L72" s="2">
        <v>0</v>
      </c>
      <c r="M72" s="2">
        <v>0</v>
      </c>
      <c r="N72" s="2">
        <v>0</v>
      </c>
      <c r="O72" s="2">
        <v>0</v>
      </c>
      <c r="P72" s="2">
        <v>1</v>
      </c>
      <c r="Q72" s="2">
        <v>7</v>
      </c>
      <c r="R72" s="2">
        <v>11</v>
      </c>
      <c r="S72" s="2">
        <v>29</v>
      </c>
      <c r="T72" s="2">
        <v>26</v>
      </c>
      <c r="U72" s="2">
        <v>36</v>
      </c>
      <c r="V72" s="2">
        <v>50</v>
      </c>
      <c r="W72" s="2">
        <v>42</v>
      </c>
      <c r="X72" s="2">
        <v>43</v>
      </c>
      <c r="Y72" s="2">
        <v>32</v>
      </c>
      <c r="Z72" s="2">
        <v>34</v>
      </c>
      <c r="AA72" s="2">
        <v>34</v>
      </c>
      <c r="AB72" s="2">
        <v>26</v>
      </c>
    </row>
    <row r="73" spans="1:28" x14ac:dyDescent="0.55000000000000004">
      <c r="A73" s="17" t="s">
        <v>95</v>
      </c>
      <c r="L73" s="2">
        <v>0</v>
      </c>
      <c r="M73" s="2">
        <v>17</v>
      </c>
      <c r="N73" s="2">
        <v>22</v>
      </c>
      <c r="O73" s="2">
        <v>25</v>
      </c>
      <c r="P73" s="2">
        <v>41</v>
      </c>
      <c r="Q73" s="2">
        <v>41</v>
      </c>
      <c r="R73" s="2">
        <v>37</v>
      </c>
      <c r="S73" s="2">
        <v>46</v>
      </c>
      <c r="T73" s="2">
        <v>43</v>
      </c>
      <c r="U73" s="2">
        <v>46</v>
      </c>
      <c r="V73" s="2">
        <v>52</v>
      </c>
      <c r="W73" s="2">
        <v>37</v>
      </c>
      <c r="X73" s="2">
        <v>44</v>
      </c>
      <c r="Y73" s="2">
        <v>25</v>
      </c>
      <c r="Z73" s="2">
        <v>33</v>
      </c>
      <c r="AA73" s="2">
        <v>40</v>
      </c>
      <c r="AB73" s="2">
        <v>21</v>
      </c>
    </row>
    <row r="74" spans="1:28" x14ac:dyDescent="0.55000000000000004">
      <c r="A74" s="17" t="s">
        <v>96</v>
      </c>
      <c r="L74" s="2">
        <v>0</v>
      </c>
      <c r="M74" s="2">
        <v>30</v>
      </c>
      <c r="N74" s="2">
        <v>27</v>
      </c>
      <c r="O74" s="2">
        <v>36</v>
      </c>
      <c r="P74" s="2">
        <v>25</v>
      </c>
      <c r="Q74" s="2">
        <v>30</v>
      </c>
      <c r="R74" s="2">
        <v>23</v>
      </c>
      <c r="S74" s="2">
        <v>26</v>
      </c>
      <c r="T74" s="2">
        <v>11</v>
      </c>
      <c r="U74" s="2">
        <v>16</v>
      </c>
      <c r="V74" s="2">
        <v>0</v>
      </c>
      <c r="W74" s="2">
        <v>0</v>
      </c>
      <c r="X74" s="2">
        <v>1</v>
      </c>
      <c r="Y74" s="2">
        <v>9</v>
      </c>
      <c r="Z74" s="2">
        <v>17</v>
      </c>
      <c r="AA74" s="2">
        <v>23</v>
      </c>
      <c r="AB74" s="2">
        <v>34</v>
      </c>
    </row>
    <row r="75" spans="1:28" x14ac:dyDescent="0.55000000000000004">
      <c r="A75" s="1" t="s">
        <v>97</v>
      </c>
      <c r="B75" s="2">
        <v>266</v>
      </c>
      <c r="C75" s="2">
        <v>216</v>
      </c>
      <c r="D75" s="2">
        <v>185</v>
      </c>
      <c r="E75" s="2">
        <v>232</v>
      </c>
      <c r="F75" s="2">
        <v>252</v>
      </c>
      <c r="G75" s="2">
        <v>312</v>
      </c>
      <c r="H75" s="2">
        <v>337</v>
      </c>
      <c r="I75" s="2">
        <v>358</v>
      </c>
      <c r="J75" s="2">
        <v>374</v>
      </c>
      <c r="K75" s="2">
        <v>358</v>
      </c>
      <c r="L75" s="2">
        <v>307</v>
      </c>
      <c r="M75" s="2">
        <v>34</v>
      </c>
      <c r="N75" s="2">
        <v>49</v>
      </c>
      <c r="O75" s="2">
        <v>53</v>
      </c>
      <c r="P75" s="2">
        <v>67</v>
      </c>
      <c r="Q75" s="2">
        <v>92</v>
      </c>
      <c r="R75" s="2">
        <v>75</v>
      </c>
      <c r="S75" s="2">
        <v>64</v>
      </c>
      <c r="T75" s="2">
        <v>85</v>
      </c>
      <c r="U75" s="2">
        <v>72</v>
      </c>
      <c r="V75" s="2">
        <f>55+19</f>
        <v>74</v>
      </c>
      <c r="W75" s="2">
        <f>52+29</f>
        <v>81</v>
      </c>
      <c r="X75" s="2">
        <f>40+8</f>
        <v>48</v>
      </c>
      <c r="Y75" s="2">
        <f>37+8</f>
        <v>45</v>
      </c>
      <c r="Z75" s="2">
        <f>51+5</f>
        <v>56</v>
      </c>
      <c r="AA75" s="2">
        <v>27</v>
      </c>
      <c r="AB75" s="2">
        <v>29</v>
      </c>
    </row>
    <row r="76" spans="1:28" x14ac:dyDescent="0.55000000000000004">
      <c r="A76" s="1" t="s">
        <v>98</v>
      </c>
      <c r="L76" s="2">
        <v>0</v>
      </c>
      <c r="M76" s="2">
        <v>28</v>
      </c>
      <c r="N76" s="2">
        <v>40</v>
      </c>
      <c r="O76" s="2">
        <v>40</v>
      </c>
      <c r="P76" s="2">
        <v>58</v>
      </c>
      <c r="Q76" s="2">
        <v>51</v>
      </c>
      <c r="R76" s="2">
        <v>59</v>
      </c>
      <c r="S76" s="2">
        <v>63</v>
      </c>
      <c r="T76" s="2">
        <v>74</v>
      </c>
      <c r="U76" s="2">
        <v>72</v>
      </c>
      <c r="V76" s="2">
        <v>69</v>
      </c>
      <c r="W76" s="2">
        <v>78</v>
      </c>
      <c r="X76" s="2">
        <v>86</v>
      </c>
      <c r="Y76" s="2">
        <v>77</v>
      </c>
      <c r="Z76" s="2">
        <v>98</v>
      </c>
      <c r="AA76" s="2">
        <v>106</v>
      </c>
      <c r="AB76" s="2">
        <v>110</v>
      </c>
    </row>
    <row r="77" spans="1:28" x14ac:dyDescent="0.55000000000000004">
      <c r="A77" s="22" t="s">
        <v>99</v>
      </c>
      <c r="L77" s="2">
        <v>0</v>
      </c>
      <c r="M77" s="2">
        <v>3</v>
      </c>
      <c r="N77" s="2">
        <v>0</v>
      </c>
      <c r="O77" s="2">
        <v>1</v>
      </c>
      <c r="P77" s="2">
        <v>2</v>
      </c>
      <c r="Q77" s="2">
        <v>1</v>
      </c>
      <c r="R77" s="2">
        <v>1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</row>
    <row r="78" spans="1:28" x14ac:dyDescent="0.55000000000000004">
      <c r="A78" s="1" t="s">
        <v>100</v>
      </c>
      <c r="L78" s="2">
        <v>0</v>
      </c>
      <c r="M78" s="2">
        <v>4</v>
      </c>
      <c r="N78" s="2">
        <v>5</v>
      </c>
      <c r="O78" s="2">
        <v>2</v>
      </c>
      <c r="P78" s="2">
        <v>0</v>
      </c>
      <c r="Q78" s="2">
        <v>1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</row>
    <row r="79" spans="1:28" ht="13.15" customHeight="1" x14ac:dyDescent="0.55000000000000004">
      <c r="A79" s="22" t="s">
        <v>101</v>
      </c>
      <c r="L79" s="2">
        <v>0</v>
      </c>
      <c r="M79" s="2">
        <v>4</v>
      </c>
      <c r="N79" s="2">
        <v>9</v>
      </c>
      <c r="O79" s="2">
        <v>5</v>
      </c>
      <c r="P79" s="2">
        <v>7</v>
      </c>
      <c r="Q79" s="2">
        <v>6</v>
      </c>
      <c r="R79" s="2">
        <v>8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1</v>
      </c>
      <c r="AA79" s="2">
        <v>0</v>
      </c>
      <c r="AB79" s="2">
        <v>0</v>
      </c>
    </row>
    <row r="80" spans="1:28" ht="13.15" customHeight="1" x14ac:dyDescent="0.55000000000000004">
      <c r="A80" s="22" t="s">
        <v>123</v>
      </c>
      <c r="N80" s="2"/>
      <c r="Q80" s="2"/>
      <c r="R80" s="2"/>
      <c r="S80" s="2"/>
      <c r="X80" s="2"/>
      <c r="Z80" s="2"/>
      <c r="AB80" s="2">
        <v>1</v>
      </c>
    </row>
    <row r="81" spans="1:28" x14ac:dyDescent="0.55000000000000004">
      <c r="A81" s="1" t="s">
        <v>102</v>
      </c>
      <c r="L81" s="2">
        <v>0</v>
      </c>
      <c r="M81" s="2" t="s">
        <v>38</v>
      </c>
      <c r="N81" s="2" t="s">
        <v>38</v>
      </c>
      <c r="O81" s="2" t="s">
        <v>38</v>
      </c>
      <c r="P81" s="2" t="s">
        <v>38</v>
      </c>
      <c r="Q81" s="2" t="s">
        <v>38</v>
      </c>
      <c r="R81" s="2">
        <v>6</v>
      </c>
      <c r="S81" s="2">
        <v>7</v>
      </c>
      <c r="T81" s="2">
        <v>15</v>
      </c>
      <c r="U81" s="2">
        <v>6</v>
      </c>
      <c r="V81" s="2">
        <v>19</v>
      </c>
      <c r="W81" s="2">
        <v>17</v>
      </c>
      <c r="X81" s="2">
        <v>26</v>
      </c>
      <c r="Y81" s="2">
        <v>22</v>
      </c>
      <c r="Z81" s="2">
        <v>18</v>
      </c>
      <c r="AA81" s="2">
        <v>26</v>
      </c>
      <c r="AB81" s="31">
        <v>23</v>
      </c>
    </row>
    <row r="82" spans="1:28" x14ac:dyDescent="0.55000000000000004">
      <c r="A82" s="23" t="s">
        <v>103</v>
      </c>
      <c r="B82" s="12">
        <v>266</v>
      </c>
      <c r="C82" s="12">
        <v>216</v>
      </c>
      <c r="D82" s="12">
        <v>185</v>
      </c>
      <c r="E82" s="12">
        <v>232</v>
      </c>
      <c r="F82" s="12">
        <v>252</v>
      </c>
      <c r="G82" s="12">
        <v>312</v>
      </c>
      <c r="H82" s="12">
        <v>337</v>
      </c>
      <c r="I82" s="12">
        <f>SUM(I75)</f>
        <v>358</v>
      </c>
      <c r="J82" s="12">
        <f>SUM(J75)</f>
        <v>374</v>
      </c>
      <c r="K82" s="12">
        <f>SUM(K75)</f>
        <v>358</v>
      </c>
      <c r="L82" s="12">
        <f>SUM(L75)</f>
        <v>307</v>
      </c>
      <c r="M82" s="12">
        <f>SUM(M66:M79)</f>
        <v>283</v>
      </c>
      <c r="N82" s="12">
        <f>SUM(N66:N79)</f>
        <v>304</v>
      </c>
      <c r="O82" s="12">
        <f>SUM(O66:O79)</f>
        <v>369</v>
      </c>
      <c r="P82" s="12">
        <f>SUM(P66:P79)</f>
        <v>411</v>
      </c>
      <c r="Q82" s="12">
        <f>SUM(Q66:Q79)</f>
        <v>441</v>
      </c>
      <c r="R82" s="12">
        <f t="shared" ref="R82:AB82" si="7">SUM(R66:R81)</f>
        <v>455</v>
      </c>
      <c r="S82" s="12">
        <f t="shared" si="7"/>
        <v>488</v>
      </c>
      <c r="T82" s="12">
        <f t="shared" si="7"/>
        <v>454</v>
      </c>
      <c r="U82" s="12">
        <f t="shared" si="7"/>
        <v>531</v>
      </c>
      <c r="V82" s="12">
        <f t="shared" si="7"/>
        <v>515</v>
      </c>
      <c r="W82" s="12">
        <f t="shared" si="7"/>
        <v>528</v>
      </c>
      <c r="X82" s="12">
        <f t="shared" si="7"/>
        <v>494</v>
      </c>
      <c r="Y82" s="12">
        <f t="shared" si="7"/>
        <v>491</v>
      </c>
      <c r="Z82" s="12">
        <f t="shared" si="7"/>
        <v>490</v>
      </c>
      <c r="AA82" s="12">
        <f t="shared" si="7"/>
        <v>467</v>
      </c>
      <c r="AB82" s="12">
        <f t="shared" si="7"/>
        <v>440</v>
      </c>
    </row>
    <row r="83" spans="1:28" x14ac:dyDescent="0.55000000000000004">
      <c r="A83" s="18" t="s">
        <v>104</v>
      </c>
      <c r="X83" s="2"/>
      <c r="AA83" s="32"/>
    </row>
    <row r="84" spans="1:28" x14ac:dyDescent="0.55000000000000004">
      <c r="A84" s="1" t="s">
        <v>105</v>
      </c>
      <c r="B84" s="2">
        <v>9</v>
      </c>
      <c r="C84" s="2">
        <v>12</v>
      </c>
      <c r="D84" s="2">
        <v>3</v>
      </c>
      <c r="E84" s="2">
        <v>3</v>
      </c>
      <c r="F84" s="2">
        <v>7</v>
      </c>
      <c r="G84" s="2">
        <v>12</v>
      </c>
      <c r="H84" s="2">
        <f>4+1</f>
        <v>5</v>
      </c>
      <c r="I84" s="2">
        <v>11</v>
      </c>
      <c r="J84" s="2">
        <v>7</v>
      </c>
      <c r="K84" s="2">
        <v>9</v>
      </c>
      <c r="L84" s="2">
        <v>3</v>
      </c>
      <c r="M84" s="2">
        <v>4</v>
      </c>
      <c r="N84" s="2">
        <v>1</v>
      </c>
      <c r="O84" s="2">
        <v>5</v>
      </c>
      <c r="P84" s="2">
        <v>3</v>
      </c>
      <c r="Q84" s="2">
        <v>2</v>
      </c>
      <c r="R84" s="2">
        <v>2</v>
      </c>
      <c r="S84" s="2">
        <v>4</v>
      </c>
      <c r="T84" s="2">
        <v>4</v>
      </c>
      <c r="U84" s="2">
        <v>1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2</v>
      </c>
      <c r="AB84" s="2">
        <v>1</v>
      </c>
    </row>
    <row r="85" spans="1:28" x14ac:dyDescent="0.55000000000000004">
      <c r="A85" s="17" t="s">
        <v>106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10">
        <v>4</v>
      </c>
      <c r="V85" s="2">
        <v>5</v>
      </c>
      <c r="W85" s="2">
        <v>6</v>
      </c>
      <c r="X85" s="2">
        <v>12</v>
      </c>
      <c r="Y85" s="2">
        <v>12</v>
      </c>
      <c r="Z85" s="2">
        <v>13</v>
      </c>
      <c r="AA85" s="2">
        <v>15</v>
      </c>
      <c r="AB85" s="2">
        <v>4</v>
      </c>
    </row>
    <row r="86" spans="1:28" x14ac:dyDescent="0.55000000000000004">
      <c r="A86" s="23" t="s">
        <v>107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12">
        <f t="shared" ref="N86:AB86" si="8">SUM(N84:N85)</f>
        <v>1</v>
      </c>
      <c r="O86" s="12">
        <f t="shared" si="8"/>
        <v>5</v>
      </c>
      <c r="P86" s="12">
        <f t="shared" si="8"/>
        <v>3</v>
      </c>
      <c r="Q86" s="12">
        <f t="shared" si="8"/>
        <v>2</v>
      </c>
      <c r="R86" s="12">
        <f t="shared" si="8"/>
        <v>2</v>
      </c>
      <c r="S86" s="12">
        <f t="shared" si="8"/>
        <v>4</v>
      </c>
      <c r="T86" s="12">
        <f t="shared" si="8"/>
        <v>4</v>
      </c>
      <c r="U86" s="12">
        <f t="shared" si="8"/>
        <v>5</v>
      </c>
      <c r="V86" s="12">
        <f t="shared" si="8"/>
        <v>5</v>
      </c>
      <c r="W86" s="12">
        <f t="shared" si="8"/>
        <v>6</v>
      </c>
      <c r="X86" s="12">
        <f t="shared" si="8"/>
        <v>12</v>
      </c>
      <c r="Y86" s="12">
        <f t="shared" si="8"/>
        <v>12</v>
      </c>
      <c r="Z86" s="12">
        <f t="shared" si="8"/>
        <v>13</v>
      </c>
      <c r="AA86" s="12">
        <f t="shared" si="8"/>
        <v>17</v>
      </c>
      <c r="AB86" s="12">
        <f t="shared" si="8"/>
        <v>5</v>
      </c>
    </row>
    <row r="87" spans="1:28" x14ac:dyDescent="0.55000000000000004">
      <c r="A87" s="19" t="s">
        <v>108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2"/>
      <c r="S87" s="9"/>
      <c r="X87" s="2"/>
    </row>
    <row r="88" spans="1:28" x14ac:dyDescent="0.55000000000000004">
      <c r="A88" s="1" t="s">
        <v>109</v>
      </c>
      <c r="F88" s="9"/>
      <c r="G88" s="9"/>
      <c r="H88" s="9"/>
      <c r="I88" s="9"/>
      <c r="J88" s="9"/>
      <c r="K88" s="9"/>
      <c r="L88" s="9"/>
      <c r="M88" s="10">
        <v>0</v>
      </c>
      <c r="N88" s="10">
        <v>0</v>
      </c>
      <c r="O88" s="10">
        <v>0</v>
      </c>
      <c r="P88" s="10">
        <v>0</v>
      </c>
      <c r="Q88" s="10">
        <v>4</v>
      </c>
      <c r="R88" s="2">
        <v>5</v>
      </c>
      <c r="S88" s="10">
        <v>15</v>
      </c>
      <c r="T88" s="2">
        <v>36</v>
      </c>
      <c r="U88" s="2">
        <v>59</v>
      </c>
      <c r="V88" s="2">
        <v>50</v>
      </c>
      <c r="W88" s="2">
        <v>71</v>
      </c>
      <c r="X88" s="2">
        <v>62</v>
      </c>
      <c r="Y88" s="2">
        <v>68</v>
      </c>
      <c r="Z88" s="2">
        <v>76</v>
      </c>
      <c r="AA88" s="2">
        <v>68</v>
      </c>
      <c r="AB88" s="2">
        <v>40</v>
      </c>
    </row>
    <row r="89" spans="1:28" x14ac:dyDescent="0.55000000000000004">
      <c r="A89" s="1" t="s">
        <v>110</v>
      </c>
      <c r="F89" s="9"/>
      <c r="G89" s="9"/>
      <c r="H89" s="9"/>
      <c r="I89" s="9"/>
      <c r="J89" s="9"/>
      <c r="K89" s="9"/>
      <c r="L89" s="9"/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2">
        <v>0</v>
      </c>
      <c r="S89" s="10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30">
        <v>0</v>
      </c>
      <c r="AA89" s="2">
        <v>0</v>
      </c>
      <c r="AB89" s="2">
        <v>0</v>
      </c>
    </row>
    <row r="90" spans="1:28" x14ac:dyDescent="0.55000000000000004">
      <c r="A90" s="1" t="s">
        <v>111</v>
      </c>
      <c r="F90" s="9"/>
      <c r="G90" s="9"/>
      <c r="H90" s="9"/>
      <c r="I90" s="9"/>
      <c r="J90" s="9"/>
      <c r="K90" s="9"/>
      <c r="L90" s="9"/>
      <c r="M90" s="10"/>
      <c r="N90" s="10"/>
      <c r="O90" s="10"/>
      <c r="P90" s="10"/>
      <c r="Q90" s="10"/>
      <c r="R90" s="2"/>
      <c r="S90" s="10"/>
      <c r="X90" s="2"/>
      <c r="Z90" s="30">
        <v>2</v>
      </c>
      <c r="AA90" s="2">
        <v>13</v>
      </c>
      <c r="AB90" s="2">
        <v>15</v>
      </c>
    </row>
    <row r="91" spans="1:28" x14ac:dyDescent="0.55000000000000004">
      <c r="A91" s="23" t="s">
        <v>112</v>
      </c>
      <c r="B91" s="4"/>
      <c r="C91" s="4"/>
      <c r="D91" s="4"/>
      <c r="E91" s="4"/>
      <c r="F91" s="8"/>
      <c r="G91" s="8"/>
      <c r="H91" s="8"/>
      <c r="I91" s="8"/>
      <c r="J91" s="8"/>
      <c r="K91" s="8"/>
      <c r="L91" s="8">
        <f t="shared" ref="L91:R91" si="9">SUM(L88:L89)</f>
        <v>0</v>
      </c>
      <c r="M91" s="8">
        <f t="shared" si="9"/>
        <v>0</v>
      </c>
      <c r="N91" s="8">
        <f t="shared" si="9"/>
        <v>0</v>
      </c>
      <c r="O91" s="8">
        <f t="shared" si="9"/>
        <v>0</v>
      </c>
      <c r="P91" s="8">
        <f t="shared" si="9"/>
        <v>0</v>
      </c>
      <c r="Q91" s="8">
        <f t="shared" si="9"/>
        <v>4</v>
      </c>
      <c r="R91" s="8">
        <f t="shared" si="9"/>
        <v>5</v>
      </c>
      <c r="S91" s="8">
        <f t="shared" ref="S91:Y91" si="10">SUM(S88:S89)</f>
        <v>15</v>
      </c>
      <c r="T91" s="8">
        <f t="shared" si="10"/>
        <v>36</v>
      </c>
      <c r="U91" s="8">
        <f t="shared" si="10"/>
        <v>59</v>
      </c>
      <c r="V91" s="8">
        <f t="shared" si="10"/>
        <v>50</v>
      </c>
      <c r="W91" s="8">
        <f t="shared" si="10"/>
        <v>71</v>
      </c>
      <c r="X91" s="8">
        <f t="shared" si="10"/>
        <v>62</v>
      </c>
      <c r="Y91" s="8">
        <f t="shared" si="10"/>
        <v>68</v>
      </c>
      <c r="Z91" s="8">
        <f>SUM(Z88:Z90)</f>
        <v>78</v>
      </c>
      <c r="AA91" s="8">
        <f>SUM(AA88:AA90)</f>
        <v>81</v>
      </c>
      <c r="AB91" s="8">
        <f>SUM(AB88:AB90)</f>
        <v>55</v>
      </c>
    </row>
    <row r="92" spans="1:28" x14ac:dyDescent="0.55000000000000004">
      <c r="A92" s="19" t="s">
        <v>113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X92" s="2"/>
    </row>
    <row r="93" spans="1:28" x14ac:dyDescent="0.55000000000000004">
      <c r="A93" s="1" t="s">
        <v>114</v>
      </c>
      <c r="V93" s="2">
        <v>5</v>
      </c>
      <c r="W93" s="2">
        <v>8</v>
      </c>
      <c r="X93" s="2">
        <v>12</v>
      </c>
      <c r="Y93" s="2">
        <v>5</v>
      </c>
      <c r="Z93" s="2">
        <v>5</v>
      </c>
      <c r="AA93" s="2">
        <v>2</v>
      </c>
      <c r="AB93" s="2">
        <v>3</v>
      </c>
    </row>
    <row r="94" spans="1:28" x14ac:dyDescent="0.55000000000000004">
      <c r="A94" s="1" t="s">
        <v>115</v>
      </c>
      <c r="B94" s="2">
        <v>21</v>
      </c>
      <c r="C94" s="2">
        <v>29</v>
      </c>
      <c r="D94" s="2">
        <v>19</v>
      </c>
      <c r="E94" s="2">
        <v>14</v>
      </c>
      <c r="F94" s="2">
        <v>17</v>
      </c>
      <c r="G94" s="2">
        <f>19+3</f>
        <v>22</v>
      </c>
      <c r="H94" s="2">
        <v>29</v>
      </c>
      <c r="I94" s="2">
        <v>27</v>
      </c>
      <c r="J94" s="2">
        <v>25</v>
      </c>
      <c r="K94" s="2">
        <f>15+11</f>
        <v>26</v>
      </c>
      <c r="L94" s="2">
        <f>21+1</f>
        <v>22</v>
      </c>
      <c r="M94" s="2">
        <f>18+4+1</f>
        <v>23</v>
      </c>
      <c r="N94" s="2">
        <f>14+4+1</f>
        <v>19</v>
      </c>
      <c r="O94" s="2">
        <f>17+9</f>
        <v>26</v>
      </c>
      <c r="P94" s="2">
        <v>33</v>
      </c>
      <c r="Q94" s="2">
        <f>18+12+1</f>
        <v>31</v>
      </c>
      <c r="R94" s="2">
        <v>41</v>
      </c>
      <c r="S94" s="2">
        <v>49</v>
      </c>
      <c r="T94" s="2">
        <v>37</v>
      </c>
      <c r="U94" s="2">
        <v>46</v>
      </c>
      <c r="V94" s="2">
        <v>39</v>
      </c>
      <c r="W94" s="2">
        <v>57</v>
      </c>
      <c r="X94" s="2">
        <v>48</v>
      </c>
      <c r="Y94" s="2">
        <v>46</v>
      </c>
      <c r="Z94" s="2">
        <v>52</v>
      </c>
      <c r="AA94" s="2">
        <v>55</v>
      </c>
      <c r="AB94" s="2">
        <v>39</v>
      </c>
    </row>
    <row r="95" spans="1:28" x14ac:dyDescent="0.55000000000000004">
      <c r="A95" s="1" t="s">
        <v>116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T95" s="1"/>
      <c r="U95" s="1"/>
      <c r="V95" s="1"/>
      <c r="W95" s="2">
        <v>1</v>
      </c>
      <c r="X95" s="2">
        <v>1</v>
      </c>
      <c r="Y95" s="2">
        <v>8</v>
      </c>
      <c r="Z95" s="2">
        <v>6</v>
      </c>
      <c r="AA95" s="2">
        <v>11</v>
      </c>
      <c r="AB95" s="2">
        <v>10</v>
      </c>
    </row>
    <row r="96" spans="1:28" s="3" customFormat="1" x14ac:dyDescent="0.55000000000000004">
      <c r="A96" s="26" t="s">
        <v>117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>
        <f t="shared" ref="L96:V96" si="11">SUM(L93:L94)</f>
        <v>22</v>
      </c>
      <c r="M96" s="12">
        <f t="shared" si="11"/>
        <v>23</v>
      </c>
      <c r="N96" s="12">
        <f t="shared" si="11"/>
        <v>19</v>
      </c>
      <c r="O96" s="12">
        <f t="shared" si="11"/>
        <v>26</v>
      </c>
      <c r="P96" s="12">
        <f t="shared" si="11"/>
        <v>33</v>
      </c>
      <c r="Q96" s="12">
        <f t="shared" si="11"/>
        <v>31</v>
      </c>
      <c r="R96" s="12">
        <f t="shared" si="11"/>
        <v>41</v>
      </c>
      <c r="S96" s="12">
        <f t="shared" si="11"/>
        <v>49</v>
      </c>
      <c r="T96" s="12">
        <f t="shared" si="11"/>
        <v>37</v>
      </c>
      <c r="U96" s="12">
        <f t="shared" si="11"/>
        <v>46</v>
      </c>
      <c r="V96" s="12">
        <f t="shared" si="11"/>
        <v>44</v>
      </c>
      <c r="W96" s="12">
        <f>SUM(W93:W95)</f>
        <v>66</v>
      </c>
      <c r="X96" s="12">
        <f>SUM(X93:X95)</f>
        <v>61</v>
      </c>
      <c r="Y96" s="12">
        <f>SUM(Y93:Y95)</f>
        <v>59</v>
      </c>
      <c r="Z96" s="12">
        <f>SUM(Z93:Z95)</f>
        <v>63</v>
      </c>
      <c r="AA96" s="12">
        <f>SUM(AA93:AA95)</f>
        <v>68</v>
      </c>
      <c r="AB96" s="12">
        <f>SUM(AB93:AB95)</f>
        <v>52</v>
      </c>
    </row>
    <row r="97" spans="1:28" x14ac:dyDescent="0.55000000000000004">
      <c r="A97" s="19" t="s">
        <v>118</v>
      </c>
      <c r="F97" s="9"/>
      <c r="G97" s="9"/>
      <c r="H97" s="9"/>
      <c r="I97" s="9"/>
      <c r="J97" s="9"/>
      <c r="K97" s="9"/>
      <c r="L97" s="13" t="e">
        <f>L42+L55+L64+L82+#REF!+L91+#REF!+L96</f>
        <v>#REF!</v>
      </c>
      <c r="M97" s="13" t="e">
        <f>M42+M55+M64+M82+#REF!+M91+#REF!+M96</f>
        <v>#REF!</v>
      </c>
      <c r="N97" s="13">
        <f t="shared" ref="N97:Y97" si="12">N42+N55+N64+N82+N86+N91+N96</f>
        <v>1701</v>
      </c>
      <c r="O97" s="13">
        <f t="shared" si="12"/>
        <v>1873</v>
      </c>
      <c r="P97" s="13">
        <f t="shared" si="12"/>
        <v>2060</v>
      </c>
      <c r="Q97" s="13">
        <f t="shared" si="12"/>
        <v>2227</v>
      </c>
      <c r="R97" s="13">
        <f t="shared" si="12"/>
        <v>2431</v>
      </c>
      <c r="S97" s="13">
        <f t="shared" si="12"/>
        <v>2530</v>
      </c>
      <c r="T97" s="13">
        <f t="shared" si="12"/>
        <v>2595</v>
      </c>
      <c r="U97" s="13">
        <f t="shared" si="12"/>
        <v>2712</v>
      </c>
      <c r="V97" s="13">
        <f t="shared" si="12"/>
        <v>2755</v>
      </c>
      <c r="W97" s="13">
        <f t="shared" si="12"/>
        <v>2663</v>
      </c>
      <c r="X97" s="13">
        <f t="shared" si="12"/>
        <v>2576</v>
      </c>
      <c r="Y97" s="13">
        <f t="shared" si="12"/>
        <v>2605</v>
      </c>
      <c r="Z97" s="13">
        <f>SUM(Z42+Z55+Z64+Z82+Z86+Z91+Z96)</f>
        <v>2801</v>
      </c>
      <c r="AA97" s="13">
        <f>SUM(AA42+AA55+AA64+AA82+AA86+AA91+AA96)</f>
        <v>2853</v>
      </c>
      <c r="AB97" s="13">
        <f>SUM(AB42+AB55+AB64+AB82+AB86+AB91+AB96)</f>
        <v>2477</v>
      </c>
    </row>
    <row r="98" spans="1:28" s="33" customFormat="1" ht="12.9" x14ac:dyDescent="0.5">
      <c r="A98" s="33" t="s">
        <v>119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R98" s="34"/>
      <c r="S98" s="34"/>
      <c r="T98" s="34"/>
      <c r="U98" s="34"/>
      <c r="V98" s="34"/>
      <c r="W98" s="34"/>
      <c r="Y98" s="34"/>
      <c r="AA98" s="34"/>
      <c r="AB98" s="34"/>
    </row>
    <row r="100" spans="1:28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1"/>
      <c r="P100" s="1"/>
      <c r="R100" s="2"/>
      <c r="S100" s="2"/>
    </row>
    <row r="101" spans="1:28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1"/>
      <c r="P101" s="1"/>
      <c r="R101" s="2"/>
      <c r="S101" s="2"/>
    </row>
    <row r="102" spans="1:28" x14ac:dyDescent="0.5500000000000000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1"/>
      <c r="P102" s="1"/>
      <c r="R102" s="2"/>
      <c r="S102" s="2"/>
    </row>
    <row r="103" spans="1:28" x14ac:dyDescent="0.55000000000000004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1"/>
      <c r="P103" s="1"/>
      <c r="R103" s="2"/>
      <c r="S103" s="2"/>
    </row>
    <row r="104" spans="1:28" x14ac:dyDescent="0.55000000000000004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1"/>
      <c r="P104" s="1"/>
      <c r="R104" s="2"/>
      <c r="S104" s="2"/>
    </row>
    <row r="105" spans="1:28" x14ac:dyDescent="0.5500000000000000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1"/>
      <c r="P105" s="1"/>
      <c r="R105" s="2"/>
      <c r="S105" s="2"/>
    </row>
    <row r="106" spans="1:28" x14ac:dyDescent="0.55000000000000004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1"/>
      <c r="P106" s="1"/>
      <c r="R106" s="2"/>
      <c r="S106" s="2"/>
    </row>
    <row r="107" spans="1:28" x14ac:dyDescent="0.55000000000000004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1"/>
      <c r="P107" s="1"/>
      <c r="R107" s="2"/>
      <c r="S107" s="2"/>
    </row>
    <row r="108" spans="1:28" x14ac:dyDescent="0.55000000000000004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1"/>
      <c r="P108" s="1"/>
      <c r="R108" s="2"/>
      <c r="S108" s="2"/>
    </row>
    <row r="109" spans="1:28" x14ac:dyDescent="0.55000000000000004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1"/>
      <c r="P109" s="1"/>
      <c r="R109" s="2"/>
      <c r="S109" s="2"/>
    </row>
    <row r="110" spans="1:28" x14ac:dyDescent="0.55000000000000004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1"/>
      <c r="P110" s="1"/>
      <c r="R110" s="2"/>
      <c r="S110" s="2"/>
    </row>
    <row r="111" spans="1:28" x14ac:dyDescent="0.55000000000000004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1"/>
      <c r="P111" s="1"/>
      <c r="R111" s="2"/>
      <c r="S111" s="2"/>
    </row>
    <row r="112" spans="1:28" x14ac:dyDescent="0.55000000000000004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1"/>
      <c r="P112" s="1"/>
      <c r="R112" s="2"/>
      <c r="S112" s="2"/>
    </row>
    <row r="113" spans="2:19" x14ac:dyDescent="0.55000000000000004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1"/>
      <c r="P113" s="1"/>
      <c r="R113" s="2"/>
      <c r="S113" s="2"/>
    </row>
    <row r="114" spans="2:19" x14ac:dyDescent="0.55000000000000004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1"/>
      <c r="P114" s="1"/>
      <c r="R114" s="2"/>
      <c r="S114" s="2"/>
    </row>
    <row r="115" spans="2:19" x14ac:dyDescent="0.5500000000000000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1"/>
      <c r="P115" s="1"/>
      <c r="R115" s="2"/>
      <c r="S115" s="2"/>
    </row>
    <row r="116" spans="2:19" x14ac:dyDescent="0.5500000000000000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1"/>
      <c r="P116" s="1"/>
      <c r="R116" s="2"/>
      <c r="S116" s="2"/>
    </row>
    <row r="117" spans="2:19" x14ac:dyDescent="0.5500000000000000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1"/>
      <c r="P117" s="1"/>
      <c r="R117" s="2"/>
      <c r="S117" s="2"/>
    </row>
    <row r="118" spans="2:19" x14ac:dyDescent="0.5500000000000000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1"/>
      <c r="P118" s="1"/>
      <c r="R118" s="2"/>
      <c r="S118" s="2"/>
    </row>
    <row r="119" spans="2:19" x14ac:dyDescent="0.5500000000000000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1"/>
      <c r="P119" s="1"/>
      <c r="R119" s="2"/>
      <c r="S119" s="2"/>
    </row>
    <row r="120" spans="2:19" x14ac:dyDescent="0.5500000000000000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1"/>
      <c r="P120" s="1"/>
      <c r="R120" s="2"/>
      <c r="S120" s="2"/>
    </row>
    <row r="121" spans="2:19" x14ac:dyDescent="0.55000000000000004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1"/>
      <c r="P121" s="1"/>
      <c r="R121" s="2"/>
      <c r="S121" s="2"/>
    </row>
    <row r="122" spans="2:19" x14ac:dyDescent="0.55000000000000004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1"/>
      <c r="P122" s="1"/>
      <c r="R122" s="2"/>
      <c r="S122" s="2"/>
    </row>
    <row r="123" spans="2:19" x14ac:dyDescent="0.5500000000000000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1"/>
      <c r="P123" s="1"/>
      <c r="R123" s="2"/>
      <c r="S123" s="2"/>
    </row>
    <row r="124" spans="2:19" x14ac:dyDescent="0.5500000000000000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1"/>
      <c r="P124" s="1"/>
      <c r="R124" s="2"/>
      <c r="S124" s="2"/>
    </row>
    <row r="125" spans="2:19" x14ac:dyDescent="0.5500000000000000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1"/>
      <c r="P125" s="1"/>
      <c r="R125" s="2"/>
      <c r="S125" s="2"/>
    </row>
    <row r="126" spans="2:19" x14ac:dyDescent="0.5500000000000000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1"/>
      <c r="P126" s="1"/>
      <c r="R126" s="2"/>
      <c r="S126" s="2"/>
    </row>
    <row r="127" spans="2:19" x14ac:dyDescent="0.55000000000000004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1"/>
      <c r="P127" s="1"/>
      <c r="R127" s="2"/>
      <c r="S127" s="2"/>
    </row>
    <row r="128" spans="2:19" x14ac:dyDescent="0.55000000000000004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1"/>
      <c r="P128" s="1"/>
      <c r="R128" s="2"/>
      <c r="S128" s="2"/>
    </row>
    <row r="129" spans="2:19" x14ac:dyDescent="0.55000000000000004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1"/>
      <c r="P129" s="1"/>
      <c r="R129" s="2"/>
      <c r="S129" s="2"/>
    </row>
    <row r="130" spans="2:19" x14ac:dyDescent="0.55000000000000004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1"/>
      <c r="P130" s="1"/>
      <c r="R130" s="2"/>
      <c r="S130" s="2"/>
    </row>
    <row r="131" spans="2:19" x14ac:dyDescent="0.55000000000000004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1"/>
      <c r="P131" s="1"/>
      <c r="R131" s="2"/>
      <c r="S131" s="2"/>
    </row>
    <row r="132" spans="2:19" x14ac:dyDescent="0.55000000000000004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1"/>
      <c r="P132" s="1"/>
      <c r="R132" s="2"/>
      <c r="S132" s="2"/>
    </row>
    <row r="133" spans="2:19" x14ac:dyDescent="0.5500000000000000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1"/>
      <c r="P133" s="1"/>
      <c r="R133" s="2"/>
      <c r="S133" s="2"/>
    </row>
    <row r="134" spans="2:19" x14ac:dyDescent="0.5500000000000000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1"/>
      <c r="P134" s="1"/>
      <c r="R134" s="2"/>
      <c r="S134" s="2"/>
    </row>
    <row r="135" spans="2:19" x14ac:dyDescent="0.5500000000000000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1"/>
      <c r="P135" s="1"/>
      <c r="R135" s="2"/>
      <c r="S135" s="2"/>
    </row>
    <row r="136" spans="2:19" x14ac:dyDescent="0.5500000000000000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1"/>
      <c r="P136" s="1"/>
      <c r="R136" s="2"/>
      <c r="S136" s="2"/>
    </row>
    <row r="137" spans="2:19" x14ac:dyDescent="0.55000000000000004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1"/>
      <c r="P137" s="1"/>
      <c r="R137" s="2"/>
      <c r="S137" s="2"/>
    </row>
    <row r="138" spans="2:19" x14ac:dyDescent="0.55000000000000004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1"/>
      <c r="P138" s="1"/>
      <c r="R138" s="2"/>
      <c r="S138" s="2"/>
    </row>
    <row r="139" spans="2:19" x14ac:dyDescent="0.55000000000000004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1"/>
      <c r="P139" s="1"/>
      <c r="R139" s="2"/>
      <c r="S139" s="2"/>
    </row>
    <row r="140" spans="2:19" x14ac:dyDescent="0.55000000000000004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1"/>
      <c r="P140" s="1"/>
      <c r="R140" s="2"/>
      <c r="S140" s="2"/>
    </row>
    <row r="141" spans="2:19" x14ac:dyDescent="0.55000000000000004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1"/>
      <c r="P141" s="1"/>
      <c r="R141" s="2"/>
      <c r="S141" s="2"/>
    </row>
    <row r="142" spans="2:19" x14ac:dyDescent="0.55000000000000004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1"/>
      <c r="P142" s="1"/>
      <c r="R142" s="2"/>
      <c r="S142" s="2"/>
    </row>
    <row r="143" spans="2:19" x14ac:dyDescent="0.55000000000000004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1"/>
      <c r="P143" s="1"/>
      <c r="R143" s="2"/>
      <c r="S143" s="2"/>
    </row>
    <row r="144" spans="2:19" x14ac:dyDescent="0.55000000000000004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1"/>
      <c r="P144" s="1"/>
      <c r="R144" s="2"/>
      <c r="S144" s="2"/>
    </row>
    <row r="145" spans="2:19" x14ac:dyDescent="0.55000000000000004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1"/>
      <c r="P145" s="1"/>
      <c r="R145" s="2"/>
      <c r="S145" s="2"/>
    </row>
    <row r="146" spans="2:19" x14ac:dyDescent="0.55000000000000004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1"/>
      <c r="P146" s="1"/>
      <c r="R146" s="2"/>
      <c r="S146" s="2"/>
    </row>
    <row r="147" spans="2:19" x14ac:dyDescent="0.55000000000000004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1"/>
      <c r="P147" s="1"/>
      <c r="R147" s="2"/>
      <c r="S147" s="2"/>
    </row>
    <row r="148" spans="2:19" x14ac:dyDescent="0.55000000000000004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1"/>
      <c r="P148" s="1"/>
      <c r="R148" s="2"/>
      <c r="S148" s="2"/>
    </row>
    <row r="149" spans="2:19" x14ac:dyDescent="0.55000000000000004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1"/>
      <c r="P149" s="1"/>
      <c r="R149" s="2"/>
      <c r="S149" s="2"/>
    </row>
    <row r="150" spans="2:19" x14ac:dyDescent="0.55000000000000004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1"/>
      <c r="P150" s="1"/>
      <c r="R150" s="2"/>
      <c r="S150" s="2"/>
    </row>
    <row r="151" spans="2:19" x14ac:dyDescent="0.55000000000000004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1"/>
      <c r="P151" s="1"/>
      <c r="R151" s="2"/>
      <c r="S151" s="2"/>
    </row>
    <row r="152" spans="2:19" x14ac:dyDescent="0.55000000000000004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1"/>
      <c r="P152" s="1"/>
      <c r="R152" s="2"/>
      <c r="S152" s="2"/>
    </row>
    <row r="153" spans="2:19" x14ac:dyDescent="0.55000000000000004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1"/>
      <c r="P153" s="1"/>
      <c r="R153" s="2"/>
      <c r="S153" s="2"/>
    </row>
    <row r="154" spans="2:19" x14ac:dyDescent="0.55000000000000004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1"/>
      <c r="P154" s="1"/>
      <c r="R154" s="2"/>
      <c r="S154" s="2"/>
    </row>
    <row r="155" spans="2:19" x14ac:dyDescent="0.55000000000000004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1"/>
      <c r="P155" s="1"/>
      <c r="R155" s="2"/>
      <c r="S155" s="2"/>
    </row>
    <row r="156" spans="2:19" x14ac:dyDescent="0.55000000000000004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1"/>
      <c r="P156" s="1"/>
      <c r="R156" s="2"/>
      <c r="S156" s="2"/>
    </row>
    <row r="157" spans="2:19" x14ac:dyDescent="0.55000000000000004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1"/>
      <c r="P157" s="1"/>
      <c r="R157" s="2"/>
      <c r="S157" s="2"/>
    </row>
    <row r="158" spans="2:19" x14ac:dyDescent="0.55000000000000004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1"/>
      <c r="P158" s="1"/>
      <c r="R158" s="2"/>
      <c r="S158" s="2"/>
    </row>
    <row r="159" spans="2:19" x14ac:dyDescent="0.55000000000000004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1"/>
      <c r="P159" s="1"/>
      <c r="R159" s="2"/>
      <c r="S159" s="2"/>
    </row>
    <row r="160" spans="2:19" x14ac:dyDescent="0.55000000000000004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1"/>
      <c r="P160" s="1"/>
      <c r="R160" s="2"/>
      <c r="S160" s="2"/>
    </row>
    <row r="161" spans="2:19" x14ac:dyDescent="0.55000000000000004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1"/>
      <c r="P161" s="1"/>
      <c r="R161" s="2"/>
      <c r="S161" s="2"/>
    </row>
    <row r="162" spans="2:19" x14ac:dyDescent="0.55000000000000004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1"/>
      <c r="P162" s="1"/>
      <c r="R162" s="2"/>
      <c r="S162" s="2"/>
    </row>
    <row r="163" spans="2:19" x14ac:dyDescent="0.55000000000000004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1"/>
      <c r="P163" s="1"/>
      <c r="R163" s="2"/>
      <c r="S163" s="2"/>
    </row>
    <row r="164" spans="2:19" x14ac:dyDescent="0.55000000000000004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1"/>
      <c r="P164" s="1"/>
      <c r="R164" s="2"/>
      <c r="S164" s="2"/>
    </row>
    <row r="165" spans="2:19" x14ac:dyDescent="0.55000000000000004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1"/>
      <c r="P165" s="1"/>
      <c r="R165" s="2"/>
      <c r="S165" s="2"/>
    </row>
    <row r="166" spans="2:19" x14ac:dyDescent="0.55000000000000004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1"/>
      <c r="P166" s="1"/>
    </row>
    <row r="167" spans="2:19" x14ac:dyDescent="0.55000000000000004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1"/>
      <c r="P167" s="1"/>
    </row>
    <row r="168" spans="2:19" x14ac:dyDescent="0.55000000000000004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1"/>
      <c r="P168" s="1"/>
    </row>
    <row r="169" spans="2:19" x14ac:dyDescent="0.55000000000000004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1"/>
      <c r="P169" s="1"/>
    </row>
  </sheetData>
  <phoneticPr fontId="18" type="noConversion"/>
  <printOptions horizontalCentered="1" verticalCentered="1"/>
  <pageMargins left="0.75" right="0.75" top="1" bottom="1" header="0.5" footer="0.5"/>
  <pageSetup scale="70" firstPageNumber="41" orientation="portrait" useFirstPageNumber="1" r:id="rId1"/>
  <headerFooter alignWithMargins="0">
    <oddHeader>&amp;L&amp;"Lucida Grande,Bold Italic"&amp;K000000Program Level Data &amp;C&amp;"Lucida Grande,Bold Italic"&amp;K000000Table 36&amp;R&amp;"Lucida Grande,Bold Italic"&amp;K000000Baccalaureate Degree Completion Trends</oddHeader>
    <oddFooter>&amp;L&amp;"Lucida Grande,Bold Italic"&amp;K000000Office of Institutional Research, UMass Boston</oddFooter>
  </headerFooter>
  <rowBreaks count="1" manualBreakCount="1">
    <brk id="5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36</vt:lpstr>
      <vt:lpstr>'TABLE 36'!Print_Area</vt:lpstr>
      <vt:lpstr>'TABLE 36'!Print_Titles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2024-02-15T15:43:30Z</cp:lastPrinted>
  <dcterms:created xsi:type="dcterms:W3CDTF">2007-04-18T21:15:21Z</dcterms:created>
  <dcterms:modified xsi:type="dcterms:W3CDTF">2024-02-15T15:43:39Z</dcterms:modified>
  <cp:category/>
  <cp:contentStatus/>
</cp:coreProperties>
</file>